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M142" i="1"/>
  <c r="M141"/>
  <c r="M12"/>
  <c r="P12"/>
  <c r="T12"/>
  <c r="M13"/>
  <c r="P13"/>
  <c r="T13"/>
  <c r="P14"/>
  <c r="T14"/>
  <c r="P15"/>
  <c r="T15"/>
  <c r="P16"/>
  <c r="T16"/>
  <c r="P17"/>
  <c r="T17"/>
  <c r="P18"/>
  <c r="T18"/>
  <c r="M19"/>
  <c r="P19"/>
  <c r="T19"/>
  <c r="P20"/>
  <c r="T20"/>
  <c r="P21"/>
  <c r="T21"/>
  <c r="M22"/>
  <c r="P22"/>
  <c r="T22"/>
  <c r="P23"/>
  <c r="T23"/>
  <c r="M24"/>
  <c r="P24"/>
  <c r="T24"/>
  <c r="P25"/>
  <c r="T25"/>
  <c r="M26"/>
  <c r="P26"/>
  <c r="T26"/>
  <c r="P27"/>
  <c r="T27"/>
  <c r="P28"/>
  <c r="T28"/>
  <c r="M29"/>
  <c r="P29"/>
  <c r="T29"/>
  <c r="M30"/>
  <c r="P30"/>
  <c r="T30"/>
  <c r="M31"/>
  <c r="P31"/>
  <c r="T31"/>
  <c r="P32"/>
  <c r="T32"/>
  <c r="P33"/>
  <c r="T33"/>
  <c r="M34"/>
  <c r="P34"/>
  <c r="T34"/>
  <c r="P35"/>
  <c r="T35"/>
  <c r="M36"/>
  <c r="P36"/>
  <c r="T36"/>
  <c r="P37"/>
  <c r="T37"/>
  <c r="M38"/>
  <c r="T38"/>
  <c r="M39"/>
  <c r="P39"/>
  <c r="T39"/>
  <c r="M40"/>
  <c r="P40"/>
  <c r="T40"/>
  <c r="M41"/>
  <c r="P41"/>
  <c r="T41"/>
  <c r="M42"/>
  <c r="P42"/>
  <c r="T42"/>
  <c r="P43"/>
  <c r="T43"/>
  <c r="P44"/>
  <c r="T44"/>
  <c r="P45"/>
  <c r="T45"/>
  <c r="M46"/>
  <c r="P46"/>
  <c r="T46"/>
  <c r="M51"/>
  <c r="P51"/>
  <c r="T51"/>
  <c r="M52"/>
  <c r="P52"/>
  <c r="T52"/>
  <c r="M53"/>
  <c r="P53"/>
  <c r="T53"/>
  <c r="M54"/>
  <c r="P54"/>
  <c r="T54"/>
  <c r="M55"/>
  <c r="P55"/>
  <c r="T55"/>
  <c r="M56"/>
  <c r="P56"/>
  <c r="T56"/>
  <c r="M57"/>
  <c r="T57"/>
  <c r="M58"/>
  <c r="P58"/>
  <c r="T58"/>
  <c r="M59"/>
  <c r="T59"/>
  <c r="M60"/>
  <c r="P60"/>
  <c r="T60"/>
  <c r="M61"/>
  <c r="P61"/>
  <c r="T61"/>
  <c r="M62"/>
  <c r="P62"/>
  <c r="T62"/>
  <c r="M63"/>
  <c r="T63"/>
  <c r="M64"/>
  <c r="P64"/>
  <c r="T64"/>
  <c r="M65"/>
  <c r="P65"/>
  <c r="T65"/>
  <c r="M66"/>
  <c r="T66"/>
  <c r="M67"/>
  <c r="T67"/>
  <c r="M68"/>
  <c r="P68"/>
  <c r="T68"/>
  <c r="M69"/>
  <c r="P69"/>
  <c r="T69"/>
  <c r="M70"/>
  <c r="P70"/>
  <c r="T70"/>
  <c r="M71"/>
  <c r="P71"/>
  <c r="T71"/>
  <c r="M72"/>
  <c r="P72"/>
  <c r="T72"/>
  <c r="M73"/>
  <c r="P73"/>
  <c r="T73"/>
  <c r="M74"/>
  <c r="P74"/>
  <c r="T74"/>
  <c r="M75"/>
  <c r="P75"/>
  <c r="T75"/>
  <c r="M76"/>
  <c r="P76"/>
  <c r="T76"/>
  <c r="M77"/>
  <c r="P77"/>
  <c r="T77"/>
  <c r="M78"/>
  <c r="T78"/>
  <c r="M79"/>
  <c r="T79"/>
  <c r="M80"/>
  <c r="P80"/>
  <c r="T80"/>
  <c r="M81"/>
  <c r="T81"/>
  <c r="M82"/>
  <c r="T82"/>
  <c r="M83"/>
  <c r="P83"/>
  <c r="T83"/>
  <c r="M84"/>
  <c r="T84"/>
  <c r="M85"/>
  <c r="T85"/>
  <c r="M86"/>
  <c r="T86"/>
  <c r="M87"/>
  <c r="T87"/>
  <c r="M88"/>
  <c r="P88"/>
  <c r="T88"/>
  <c r="M89"/>
  <c r="P89"/>
  <c r="T89"/>
  <c r="M90"/>
  <c r="P90"/>
  <c r="T90"/>
  <c r="M91"/>
  <c r="T91"/>
  <c r="M92"/>
  <c r="T92"/>
  <c r="M93"/>
  <c r="P93"/>
  <c r="T93"/>
  <c r="M94"/>
  <c r="P94"/>
  <c r="T94"/>
  <c r="M95"/>
  <c r="P95"/>
  <c r="T95"/>
  <c r="M96"/>
  <c r="P96"/>
  <c r="T96"/>
  <c r="M97"/>
  <c r="P97"/>
  <c r="T97"/>
  <c r="M98"/>
  <c r="P98"/>
  <c r="T98"/>
  <c r="M99"/>
  <c r="P99"/>
  <c r="T99"/>
  <c r="M100"/>
  <c r="P100"/>
  <c r="T100"/>
  <c r="M101"/>
  <c r="P101"/>
  <c r="T101"/>
  <c r="M102"/>
  <c r="P102"/>
  <c r="T102"/>
  <c r="M103"/>
  <c r="P103"/>
  <c r="T103"/>
  <c r="M104"/>
  <c r="T104"/>
  <c r="M105"/>
  <c r="P105"/>
  <c r="T105"/>
  <c r="M106"/>
  <c r="P106"/>
  <c r="T106"/>
  <c r="M107"/>
  <c r="P107"/>
  <c r="T107"/>
  <c r="M108"/>
  <c r="P108"/>
  <c r="T108"/>
  <c r="M109"/>
  <c r="P109"/>
  <c r="T109"/>
  <c r="M110"/>
  <c r="T110"/>
  <c r="M111"/>
  <c r="P111"/>
  <c r="T111"/>
  <c r="M112"/>
  <c r="P112"/>
  <c r="T112"/>
  <c r="M113"/>
  <c r="T113"/>
  <c r="M114"/>
  <c r="P114"/>
  <c r="T114"/>
  <c r="M115"/>
  <c r="T115"/>
  <c r="M116"/>
  <c r="P116"/>
  <c r="T116"/>
  <c r="M117"/>
  <c r="P117"/>
  <c r="T117"/>
  <c r="M118"/>
  <c r="T118"/>
  <c r="M119"/>
  <c r="P119"/>
  <c r="T119"/>
  <c r="M120"/>
  <c r="P120"/>
  <c r="T120"/>
  <c r="M121"/>
  <c r="P121"/>
  <c r="T121"/>
  <c r="M122"/>
  <c r="P122"/>
  <c r="T122"/>
  <c r="M123"/>
  <c r="P123"/>
  <c r="T123"/>
  <c r="M124"/>
  <c r="P124"/>
  <c r="T124"/>
  <c r="M125"/>
  <c r="P125"/>
  <c r="T125"/>
  <c r="M126"/>
  <c r="P126"/>
  <c r="T126"/>
  <c r="M127"/>
  <c r="P127"/>
  <c r="M132"/>
  <c r="P132"/>
  <c r="T132"/>
  <c r="M134"/>
  <c r="T134"/>
  <c r="M135"/>
  <c r="T135"/>
  <c r="M136"/>
  <c r="T136"/>
  <c r="M140"/>
  <c r="P140"/>
  <c r="T140"/>
</calcChain>
</file>

<file path=xl/sharedStrings.xml><?xml version="1.0" encoding="utf-8"?>
<sst xmlns="http://schemas.openxmlformats.org/spreadsheetml/2006/main" count="502" uniqueCount="219">
  <si>
    <t>ОТЧЕТ ОБ ИСПОЛНЕНИИ БЮДЖЕТА</t>
  </si>
  <si>
    <t>КОДЫ</t>
  </si>
  <si>
    <t xml:space="preserve">Форма по ОКУД </t>
  </si>
  <si>
    <t>0503117</t>
  </si>
  <si>
    <t>на 1 октября 2013 г.</t>
  </si>
  <si>
    <t xml:space="preserve">Дата </t>
  </si>
  <si>
    <t>01.10.2013</t>
  </si>
  <si>
    <t>Наименование финансового органа</t>
  </si>
  <si>
    <t>Администрация Канеловского сельского поселения Староминского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</si>
  <si>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</si>
  <si>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</si>
  <si>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</si>
  <si>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</si>
  <si>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Администрации Канеловского сельского поселения</t>
  </si>
  <si>
    <t xml:space="preserve">по ОКАТО </t>
  </si>
  <si>
    <t>3247802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</si>
  <si>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</si>
  <si>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</si>
  <si>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</si>
  <si>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</si>
  <si>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</si>
  <si>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</si>
  <si>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</si>
  <si>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</si>
  <si>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</si>
  <si>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</si>
  <si>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</si>
  <si>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</si>
  <si>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</si>
  <si>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</si>
  <si>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</si>
  <si>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</si>
  <si>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</si>
  <si>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</si>
  <si>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</si>
  <si>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</si>
  <si>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</si>
  <si>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</si>
  <si>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</si>
  <si>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182 10102010 01 1000 110</t>
  </si>
  <si>
    <t>182 10102010 01 2000 110</t>
  </si>
  <si>
    <t>-</t>
  </si>
  <si>
    <t>182 10102010 01 3000 110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</si>
  <si>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кабинеты..</t>
  </si>
  <si>
    <t>182 10102020 01 1000 110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</si>
  <si>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</si>
  <si>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182 10102030 01 1000 110</t>
  </si>
  <si>
    <t>182 10102030 01 2000 110</t>
  </si>
  <si>
    <t>Единый сельскохозяйственный налог</t>
  </si>
  <si>
    <t>182 10503010 01 1000 110</t>
  </si>
  <si>
    <t>182 10503010 01 2000 110</t>
  </si>
  <si>
    <t>Единый сельскохозяйственный налог (за налоговые периоды, истекшие до 1 января 2011 года)</t>
  </si>
  <si>
    <t>182 10503020 01 1000 110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</si>
  <si>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</si>
  <si>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182 10601030 10 1000 110</t>
  </si>
  <si>
    <t>182 10601030 10 2000 110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</si>
  <si>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</si>
  <si>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182 10606013 10 1000 110</t>
  </si>
  <si>
    <t>182 10606013 10 2000 110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</si>
  <si>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</si>
  <si>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182 10606023 10 1000 110</t>
  </si>
  <si>
    <t>182 10606023 10 2000 110</t>
  </si>
  <si>
    <t>182 10606023 10 3000 110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</si>
  <si>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земельных...</t>
  </si>
  <si>
    <t>821 11105013 10 0021 120</t>
  </si>
  <si>
    <t>821 11105013 10 0023 120</t>
  </si>
  <si>
    <t>821 11105013 10 0026 120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</si>
  <si>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</si>
  <si>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</si>
  <si>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</si>
  <si>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992 11109045 10 0000 120</t>
  </si>
  <si>
    <t>Прочие доходы от оказания платных услуг (работ) получателями средств бюджетов поселений</t>
  </si>
  <si>
    <t>992 11301995 10 0000 130</t>
  </si>
  <si>
    <t>Невыясненные поступления, зачисляемые в бюджеты поселений</t>
  </si>
  <si>
    <t>992 11701050 10 0000 180</t>
  </si>
  <si>
    <t>Дотации бюджетам поселений на выравнивание бюджетной обеспеченности</t>
  </si>
  <si>
    <t>992 20201001 10 0000 151</t>
  </si>
  <si>
    <t>Дотации бюджетам поселений на поддержку мер по обеспечению сбалансированности бюджетов</t>
  </si>
  <si>
    <t>992 20201003 10 0000 151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</si>
  <si>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</si>
  <si>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992 20202077 10 0000 151</t>
  </si>
  <si>
    <t>Прочие субсидии бюджетам поселений</t>
  </si>
  <si>
    <t>992 20202999 10 0000 151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</si>
  <si>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</si>
  <si>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992 20203015 10 0000 151</t>
  </si>
  <si>
    <t>Субвенции бюджетам поселений на выполнение передаваемых полномочий субъектов Российской Федерации</t>
  </si>
  <si>
    <t>992 20203024 10 0000 151</t>
  </si>
  <si>
    <t>Прочие межбюджетные трансферты, передаваемые бюджетам поселений</t>
  </si>
  <si>
    <t>992 20204999 10 0000 151</t>
  </si>
  <si>
    <t>Поступления от денежных пожертвований, предоставляемых физическими лицами получателям средств бюджетов поселений</t>
  </si>
  <si>
    <t>992 20705020 10 0000 180</t>
  </si>
  <si>
    <t>Прочие безвозмездные поступления в бюджеты поселений</t>
  </si>
  <si>
    <t>992 20705030 10 0000 180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</si>
  <si>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и...</t>
  </si>
  <si>
    <t>992 20805000 10 0000 180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</si>
  <si>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</si>
  <si>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992 21905000 10 0000 151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</si>
  <si>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</si>
  <si>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</si>
  <si>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</si>
  <si>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</si>
  <si>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</si>
  <si>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992 0102 0020100 120 211</t>
  </si>
  <si>
    <t>Начисления на выплаты по оплате труда</t>
  </si>
  <si>
    <t>992 0102 0020100 120 213</t>
  </si>
  <si>
    <t>992 0104 0020400 120 211</t>
  </si>
  <si>
    <t>992 0104 0020400 120 213</t>
  </si>
  <si>
    <t>Услуги связи</t>
  </si>
  <si>
    <t>992 0104 0020400 240 221</t>
  </si>
  <si>
    <t>Транспортные услуги</t>
  </si>
  <si>
    <t>992 0104 0020400 240 222</t>
  </si>
  <si>
    <t>Коммунальные услуги</t>
  </si>
  <si>
    <t>992 0104 0020400 240 223</t>
  </si>
  <si>
    <t>Работы, услуги по содержанию имущества</t>
  </si>
  <si>
    <t>992 0104 0020400 240 225</t>
  </si>
  <si>
    <t>Прочие работы, услуги</t>
  </si>
  <si>
    <t>992 0104 0020400 240 226</t>
  </si>
  <si>
    <t>Увеличение стоимости основных средств</t>
  </si>
  <si>
    <t>992 0104 0020400 240 310</t>
  </si>
  <si>
    <t>Увеличение стоимости материальных запасов</t>
  </si>
  <si>
    <t>992 0104 0020400 240 340</t>
  </si>
  <si>
    <t>Перечисления другим бюджетам бюджетной системы Российской Федерации</t>
  </si>
  <si>
    <t>992 0104 0020400 540 251</t>
  </si>
  <si>
    <t>Прочие расходы</t>
  </si>
  <si>
    <t>992 0104 0020400 850 290</t>
  </si>
  <si>
    <t>992 0104 0029500 240 221</t>
  </si>
  <si>
    <t>992 0106 0020400 540 251</t>
  </si>
  <si>
    <t>992 0113 0020400 540 251</t>
  </si>
  <si>
    <t>992 0113 0029999 110 211</t>
  </si>
  <si>
    <t>992 0113 0029999 110 213</t>
  </si>
  <si>
    <t>992 0113 0029999 240 226</t>
  </si>
  <si>
    <t>992 0113 0029999 240 310</t>
  </si>
  <si>
    <t>992 0113 0029999 850 290</t>
  </si>
  <si>
    <t>992 0113 0920300 240 226</t>
  </si>
  <si>
    <t>992 0113 7957700 240 290</t>
  </si>
  <si>
    <t>992 0203 0013600 120 211</t>
  </si>
  <si>
    <t>992 0203 0013600 120 213</t>
  </si>
  <si>
    <t>992 0309 2180100 240 226</t>
  </si>
  <si>
    <t>992 0309 2180100 240 310</t>
  </si>
  <si>
    <t>992 0309 2190100 240 226</t>
  </si>
  <si>
    <t>992 0309 3029999 540 251</t>
  </si>
  <si>
    <t>992 0314 2470000 240 310</t>
  </si>
  <si>
    <t>992 0409 3150203 240 225</t>
  </si>
  <si>
    <t>992 0412 3380000 240 226</t>
  </si>
  <si>
    <t>992 0502 1001114 411 310</t>
  </si>
  <si>
    <t>992 0502 1001199 411 310</t>
  </si>
  <si>
    <t>992 0502 7958700 411 226</t>
  </si>
  <si>
    <t>992 0502 7958700 411 310</t>
  </si>
  <si>
    <t>992 0502 8510500 240 225</t>
  </si>
  <si>
    <t>992 0502 8510500 240 226</t>
  </si>
  <si>
    <t>992 0503 6000100 240 223</t>
  </si>
  <si>
    <t>992 0503 6000100 240 225</t>
  </si>
  <si>
    <t>992 0503 6000500 240 310</t>
  </si>
  <si>
    <t>992 0503 8200200 240 310</t>
  </si>
  <si>
    <t>992 0505 0029999 110 211</t>
  </si>
  <si>
    <t>992 0505 0029999 110 213</t>
  </si>
  <si>
    <t>992 0505 0029999 240 223</t>
  </si>
  <si>
    <t>992 0505 0029999 240 226</t>
  </si>
  <si>
    <t>992 0505 0029999 240 340</t>
  </si>
  <si>
    <t>992 0505 0029999 850 290</t>
  </si>
  <si>
    <t>992 0707 4310100 240 226</t>
  </si>
  <si>
    <t>992 0707 4310100 240 290</t>
  </si>
  <si>
    <t>992 0801 4400900 240 221</t>
  </si>
  <si>
    <t>992 0801 4409999 110 211</t>
  </si>
  <si>
    <t>Прочие выплаты</t>
  </si>
  <si>
    <t>992 0801 4409999 110 212</t>
  </si>
  <si>
    <t>992 0801 4409999 110 213</t>
  </si>
  <si>
    <t>992 0801 4409999 240 221</t>
  </si>
  <si>
    <t>992 0801 4409999 240 223</t>
  </si>
  <si>
    <t>992 0801 4409999 240 226</t>
  </si>
  <si>
    <t>992 0801 4409999 240 310</t>
  </si>
  <si>
    <t>992 0801 4409999 240 340</t>
  </si>
  <si>
    <t>992 0801 4409999 850 290</t>
  </si>
  <si>
    <t>992 0801 4429999 110 211</t>
  </si>
  <si>
    <t>992 0801 4429999 110 212</t>
  </si>
  <si>
    <t>992 0801 4429999 110 213</t>
  </si>
  <si>
    <t>992 0801 4429999 240 225</t>
  </si>
  <si>
    <t>992 0801 4429999 240 226</t>
  </si>
  <si>
    <t>992 0801 4429999 850 290</t>
  </si>
  <si>
    <t>992 0801 4508500 240 226</t>
  </si>
  <si>
    <t>992 0801 5223804 110 211</t>
  </si>
  <si>
    <t>992 0801 5223804 110 213</t>
  </si>
  <si>
    <t>992 0801 7955400 110 211</t>
  </si>
  <si>
    <t>992 0801 7955400 110 213</t>
  </si>
  <si>
    <t>992 1101 5129700 240 290</t>
  </si>
  <si>
    <t>992 1101 5129700 240 340</t>
  </si>
  <si>
    <t>992 1202 7950100 240 226</t>
  </si>
  <si>
    <t>Обслуживание внутреннего долга</t>
  </si>
  <si>
    <t>992 1301 0650700 710 231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</si>
  <si>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</si>
  <si>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</si>
  <si>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</si>
  <si>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</si>
  <si>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</si>
  <si>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</si>
  <si>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</si>
  <si>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</si>
  <si>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</si>
  <si>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</si>
  <si>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992 01030100 10 0000 710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</si>
  <si>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</si>
  <si>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992 01030100 10 0000 810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</si>
  <si>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</si>
  <si>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</si>
  <si>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</si>
  <si>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</si>
  <si>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</si>
  <si>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</si>
  <si>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</si>
  <si>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</si>
  <si>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</si>
  <si>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</si>
  <si>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</si>
  <si>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Глава Канеловского сельского поселения</t>
  </si>
  <si>
    <t>Костенко Г. Н.</t>
  </si>
  <si>
    <t>(подпись)</t>
  </si>
  <si>
    <t>(расшифровка подписи)</t>
  </si>
  <si>
    <t xml:space="preserve">   3 октября 2013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</si>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</sst>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48"/>
  <sheetViews>
    <sheetView tabSelected="1" topLeftCell="C58" workbookViewId="0">
      <selection activeCell="P142" sqref="P142:S142"/>
    </sheetView>
  </sheetViews>
  <sheetFormatPr defaultRowHeight="13.2"/>
  <cols>
    <col min="1" max="1" width="13.77734375" style="1" customWidth="1"/>
    <col min="2" max="2" width="2.77734375" style="1" customWidth="1"/>
    <col min="3" max="3" width="13.77734375" style="1" customWidth="1"/>
    <col min="4" max="4" width="9.77734375" style="1" customWidth="1"/>
    <col min="5" max="5" width="6.77734375" style="1" customWidth="1"/>
    <col min="6" max="6" width="2.77734375" style="1" customWidth="1"/>
    <col min="7" max="7" width="1.77734375" style="1" customWidth="1"/>
    <col min="8" max="8" width="11.88671875" style="1" customWidth="1"/>
    <col min="9" max="9" width="3.77734375" style="1" customWidth="1"/>
    <col min="10" max="10" width="1" style="1" customWidth="1"/>
    <col min="11" max="11" width="2.77734375" style="1" customWidth="1"/>
    <col min="12" max="12" width="17.44140625" style="1" customWidth="1"/>
    <col min="13" max="14" width="2.77734375" style="1" customWidth="1"/>
    <col min="15" max="15" width="10.77734375" style="1" customWidth="1"/>
    <col min="16" max="16" width="7.77734375" style="1" customWidth="1"/>
    <col min="17" max="17" width="3.77734375" style="1" customWidth="1"/>
    <col min="18" max="18" width="1.77734375" style="1" customWidth="1"/>
    <col min="19" max="20" width="4.77734375" style="1" customWidth="1"/>
    <col min="21" max="21" width="12.77734375" style="1" customWidth="1"/>
  </cols>
  <sheetData>
    <row r="1" spans="1:21" s="1" customFormat="1" ht="13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" customFormat="1" ht="13.95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3</v>
      </c>
    </row>
    <row r="3" spans="1:21" s="1" customFormat="1" ht="13.95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 t="s">
        <v>5</v>
      </c>
      <c r="T3" s="4"/>
      <c r="U3" s="6" t="s">
        <v>6</v>
      </c>
    </row>
    <row r="4" spans="1:21" s="1" customFormat="1" ht="13.95" customHeight="1">
      <c r="A4" s="7" t="s">
        <v>7</v>
      </c>
      <c r="B4" s="7"/>
      <c r="C4" s="7"/>
      <c r="D4" s="8" t="s">
        <v>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 t="s">
        <v>9</v>
      </c>
      <c r="S4" s="4"/>
      <c r="T4" s="4"/>
      <c r="U4" s="6" t="s">
        <v>11</v>
      </c>
    </row>
    <row r="5" spans="1:21" s="1" customFormat="1" ht="13.95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 t="s">
        <v>10</v>
      </c>
      <c r="S5" s="4"/>
      <c r="T5" s="4"/>
      <c r="U5" s="6" t="s">
        <v>11</v>
      </c>
    </row>
    <row r="6" spans="1:21" s="1" customFormat="1" ht="13.95" customHeight="1">
      <c r="A6" s="7" t="s">
        <v>12</v>
      </c>
      <c r="B6" s="7"/>
      <c r="C6" s="7"/>
      <c r="D6" s="7"/>
      <c r="E6" s="8" t="s">
        <v>13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 t="s">
        <v>14</v>
      </c>
      <c r="S6" s="4"/>
      <c r="T6" s="4"/>
      <c r="U6" s="6" t="s">
        <v>15</v>
      </c>
    </row>
    <row r="7" spans="1:21" s="1" customFormat="1" ht="13.95" customHeight="1">
      <c r="A7" s="9" t="s">
        <v>16</v>
      </c>
      <c r="B7" s="7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 t="s">
        <v>11</v>
      </c>
    </row>
    <row r="8" spans="1:21" s="1" customFormat="1" ht="13.95" customHeight="1">
      <c r="A8" s="7" t="s">
        <v>18</v>
      </c>
      <c r="B8" s="7"/>
      <c r="C8" s="7" t="s">
        <v>19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 t="s">
        <v>20</v>
      </c>
      <c r="R8" s="4"/>
      <c r="S8" s="4"/>
      <c r="T8" s="4"/>
      <c r="U8" s="10" t="s">
        <v>21</v>
      </c>
    </row>
    <row r="9" spans="1:21" s="1" customFormat="1" ht="13.95" customHeight="1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s="1" customFormat="1" ht="34.950000000000003" customHeight="1">
      <c r="A10" s="12" t="s">
        <v>23</v>
      </c>
      <c r="B10" s="12"/>
      <c r="C10" s="12"/>
      <c r="D10" s="12"/>
      <c r="E10" s="12"/>
      <c r="F10" s="12"/>
      <c r="G10" s="12"/>
      <c r="H10" s="12"/>
      <c r="I10" s="12" t="s">
        <v>24</v>
      </c>
      <c r="J10" s="12"/>
      <c r="K10" s="12" t="s">
        <v>25</v>
      </c>
      <c r="L10" s="12"/>
      <c r="M10" s="13" t="s">
        <v>26</v>
      </c>
      <c r="N10" s="13"/>
      <c r="O10" s="13"/>
      <c r="P10" s="13" t="s">
        <v>27</v>
      </c>
      <c r="Q10" s="13"/>
      <c r="R10" s="13"/>
      <c r="S10" s="13"/>
      <c r="T10" s="14" t="s">
        <v>28</v>
      </c>
      <c r="U10" s="14"/>
    </row>
    <row r="11" spans="1:21" s="1" customFormat="1" ht="13.05" customHeight="1">
      <c r="A11" s="15" t="s">
        <v>29</v>
      </c>
      <c r="B11" s="15"/>
      <c r="C11" s="15"/>
      <c r="D11" s="15"/>
      <c r="E11" s="15"/>
      <c r="F11" s="15"/>
      <c r="G11" s="15"/>
      <c r="H11" s="15"/>
      <c r="I11" s="15" t="s">
        <v>30</v>
      </c>
      <c r="J11" s="15"/>
      <c r="K11" s="15" t="s">
        <v>31</v>
      </c>
      <c r="L11" s="15"/>
      <c r="M11" s="16" t="s">
        <v>32</v>
      </c>
      <c r="N11" s="16"/>
      <c r="O11" s="16"/>
      <c r="P11" s="16" t="s">
        <v>33</v>
      </c>
      <c r="Q11" s="16"/>
      <c r="R11" s="16"/>
      <c r="S11" s="16"/>
      <c r="T11" s="17" t="s">
        <v>34</v>
      </c>
      <c r="U11" s="17"/>
    </row>
    <row r="12" spans="1:21" s="1" customFormat="1" ht="13.95" customHeight="1">
      <c r="A12" s="18" t="s">
        <v>35</v>
      </c>
      <c r="B12" s="18"/>
      <c r="C12" s="18"/>
      <c r="D12" s="18"/>
      <c r="E12" s="18"/>
      <c r="F12" s="18"/>
      <c r="G12" s="18"/>
      <c r="H12" s="18"/>
      <c r="I12" s="19" t="s">
        <v>36</v>
      </c>
      <c r="J12" s="19"/>
      <c r="K12" s="19" t="s">
        <v>37</v>
      </c>
      <c r="L12" s="19"/>
      <c r="M12" s="20">
        <f>17458913.25</f>
        <v>17458913.25</v>
      </c>
      <c r="N12" s="20"/>
      <c r="O12" s="20"/>
      <c r="P12" s="20">
        <f>8051314.74</f>
        <v>8051314.7400000002</v>
      </c>
      <c r="Q12" s="20"/>
      <c r="R12" s="20"/>
      <c r="S12" s="20"/>
      <c r="T12" s="21">
        <f>9407598.51</f>
        <v>9407598.5099999998</v>
      </c>
      <c r="U12" s="21"/>
    </row>
    <row r="13" spans="1:21" s="1" customFormat="1" ht="45" customHeight="1">
      <c r="A13" s="22" t="s">
        <v>38</v>
      </c>
      <c r="B13" s="22"/>
      <c r="C13" s="22"/>
      <c r="D13" s="22"/>
      <c r="E13" s="22"/>
      <c r="F13" s="22"/>
      <c r="G13" s="22"/>
      <c r="H13" s="22"/>
      <c r="I13" s="23" t="s">
        <v>36</v>
      </c>
      <c r="J13" s="23"/>
      <c r="K13" s="23" t="s">
        <v>39</v>
      </c>
      <c r="L13" s="23"/>
      <c r="M13" s="24">
        <f>1770000</f>
        <v>1770000</v>
      </c>
      <c r="N13" s="24"/>
      <c r="O13" s="24"/>
      <c r="P13" s="24">
        <f>1665748.85</f>
        <v>1665748.85</v>
      </c>
      <c r="Q13" s="24"/>
      <c r="R13" s="24"/>
      <c r="S13" s="24"/>
      <c r="T13" s="25">
        <f>104251.15</f>
        <v>104251.15</v>
      </c>
      <c r="U13" s="25"/>
    </row>
    <row r="14" spans="1:21" s="1" customFormat="1" ht="45" customHeight="1">
      <c r="A14" s="22" t="s">
        <v>38</v>
      </c>
      <c r="B14" s="22"/>
      <c r="C14" s="22"/>
      <c r="D14" s="22"/>
      <c r="E14" s="22"/>
      <c r="F14" s="22"/>
      <c r="G14" s="22"/>
      <c r="H14" s="22"/>
      <c r="I14" s="23" t="s">
        <v>36</v>
      </c>
      <c r="J14" s="23"/>
      <c r="K14" s="23" t="s">
        <v>40</v>
      </c>
      <c r="L14" s="23"/>
      <c r="M14" s="26" t="s">
        <v>41</v>
      </c>
      <c r="N14" s="26"/>
      <c r="O14" s="26"/>
      <c r="P14" s="24">
        <f>14.56</f>
        <v>14.56</v>
      </c>
      <c r="Q14" s="24"/>
      <c r="R14" s="24"/>
      <c r="S14" s="24"/>
      <c r="T14" s="25">
        <f>0</f>
        <v>0</v>
      </c>
      <c r="U14" s="25"/>
    </row>
    <row r="15" spans="1:21" s="1" customFormat="1" ht="45" customHeight="1">
      <c r="A15" s="22" t="s">
        <v>38</v>
      </c>
      <c r="B15" s="22"/>
      <c r="C15" s="22"/>
      <c r="D15" s="22"/>
      <c r="E15" s="22"/>
      <c r="F15" s="22"/>
      <c r="G15" s="22"/>
      <c r="H15" s="22"/>
      <c r="I15" s="23" t="s">
        <v>36</v>
      </c>
      <c r="J15" s="23"/>
      <c r="K15" s="23" t="s">
        <v>42</v>
      </c>
      <c r="L15" s="23"/>
      <c r="M15" s="26" t="s">
        <v>41</v>
      </c>
      <c r="N15" s="26"/>
      <c r="O15" s="26"/>
      <c r="P15" s="24">
        <f>130</f>
        <v>130</v>
      </c>
      <c r="Q15" s="24"/>
      <c r="R15" s="24"/>
      <c r="S15" s="24"/>
      <c r="T15" s="25">
        <f>0</f>
        <v>0</v>
      </c>
      <c r="U15" s="25"/>
    </row>
    <row r="16" spans="1:21" s="1" customFormat="1" ht="45" customHeight="1">
      <c r="A16" s="22" t="s">
        <v>43</v>
      </c>
      <c r="B16" s="22"/>
      <c r="C16" s="22"/>
      <c r="D16" s="22"/>
      <c r="E16" s="22"/>
      <c r="F16" s="22"/>
      <c r="G16" s="22"/>
      <c r="H16" s="22"/>
      <c r="I16" s="23" t="s">
        <v>36</v>
      </c>
      <c r="J16" s="23"/>
      <c r="K16" s="23" t="s">
        <v>44</v>
      </c>
      <c r="L16" s="23"/>
      <c r="M16" s="26" t="s">
        <v>41</v>
      </c>
      <c r="N16" s="26"/>
      <c r="O16" s="26"/>
      <c r="P16" s="24">
        <f>379.34</f>
        <v>379.34</v>
      </c>
      <c r="Q16" s="24"/>
      <c r="R16" s="24"/>
      <c r="S16" s="24"/>
      <c r="T16" s="25">
        <f>0</f>
        <v>0</v>
      </c>
      <c r="U16" s="25"/>
    </row>
    <row r="17" spans="1:21" s="1" customFormat="1" ht="24" customHeight="1">
      <c r="A17" s="22" t="s">
        <v>45</v>
      </c>
      <c r="B17" s="22"/>
      <c r="C17" s="22"/>
      <c r="D17" s="22"/>
      <c r="E17" s="22"/>
      <c r="F17" s="22"/>
      <c r="G17" s="22"/>
      <c r="H17" s="22"/>
      <c r="I17" s="23" t="s">
        <v>36</v>
      </c>
      <c r="J17" s="23"/>
      <c r="K17" s="23" t="s">
        <v>46</v>
      </c>
      <c r="L17" s="23"/>
      <c r="M17" s="26" t="s">
        <v>41</v>
      </c>
      <c r="N17" s="26"/>
      <c r="O17" s="26"/>
      <c r="P17" s="24">
        <f>631.8</f>
        <v>631.79999999999995</v>
      </c>
      <c r="Q17" s="24"/>
      <c r="R17" s="24"/>
      <c r="S17" s="24"/>
      <c r="T17" s="25">
        <f>0</f>
        <v>0</v>
      </c>
      <c r="U17" s="25"/>
    </row>
    <row r="18" spans="1:21" s="1" customFormat="1" ht="24" customHeight="1">
      <c r="A18" s="22" t="s">
        <v>45</v>
      </c>
      <c r="B18" s="22"/>
      <c r="C18" s="22"/>
      <c r="D18" s="22"/>
      <c r="E18" s="22"/>
      <c r="F18" s="22"/>
      <c r="G18" s="22"/>
      <c r="H18" s="22"/>
      <c r="I18" s="23" t="s">
        <v>36</v>
      </c>
      <c r="J18" s="23"/>
      <c r="K18" s="23" t="s">
        <v>47</v>
      </c>
      <c r="L18" s="23"/>
      <c r="M18" s="26" t="s">
        <v>41</v>
      </c>
      <c r="N18" s="26"/>
      <c r="O18" s="26"/>
      <c r="P18" s="24">
        <f>48.64</f>
        <v>48.64</v>
      </c>
      <c r="Q18" s="24"/>
      <c r="R18" s="24"/>
      <c r="S18" s="24"/>
      <c r="T18" s="25">
        <f>0</f>
        <v>0</v>
      </c>
      <c r="U18" s="25"/>
    </row>
    <row r="19" spans="1:21" s="1" customFormat="1" ht="13.95" customHeight="1">
      <c r="A19" s="22" t="s">
        <v>48</v>
      </c>
      <c r="B19" s="22"/>
      <c r="C19" s="22"/>
      <c r="D19" s="22"/>
      <c r="E19" s="22"/>
      <c r="F19" s="22"/>
      <c r="G19" s="22"/>
      <c r="H19" s="22"/>
      <c r="I19" s="23" t="s">
        <v>36</v>
      </c>
      <c r="J19" s="23"/>
      <c r="K19" s="23" t="s">
        <v>49</v>
      </c>
      <c r="L19" s="23"/>
      <c r="M19" s="24">
        <f>395000</f>
        <v>395000</v>
      </c>
      <c r="N19" s="24"/>
      <c r="O19" s="24"/>
      <c r="P19" s="24">
        <f>761005.51</f>
        <v>761005.51</v>
      </c>
      <c r="Q19" s="24"/>
      <c r="R19" s="24"/>
      <c r="S19" s="24"/>
      <c r="T19" s="25">
        <f>-366005.51</f>
        <v>-366005.51</v>
      </c>
      <c r="U19" s="25"/>
    </row>
    <row r="20" spans="1:21" s="1" customFormat="1" ht="13.95" customHeight="1">
      <c r="A20" s="22" t="s">
        <v>48</v>
      </c>
      <c r="B20" s="22"/>
      <c r="C20" s="22"/>
      <c r="D20" s="22"/>
      <c r="E20" s="22"/>
      <c r="F20" s="22"/>
      <c r="G20" s="22"/>
      <c r="H20" s="22"/>
      <c r="I20" s="23" t="s">
        <v>36</v>
      </c>
      <c r="J20" s="23"/>
      <c r="K20" s="23" t="s">
        <v>50</v>
      </c>
      <c r="L20" s="23"/>
      <c r="M20" s="26" t="s">
        <v>41</v>
      </c>
      <c r="N20" s="26"/>
      <c r="O20" s="26"/>
      <c r="P20" s="24">
        <f>3019.22</f>
        <v>3019.22</v>
      </c>
      <c r="Q20" s="24"/>
      <c r="R20" s="24"/>
      <c r="S20" s="24"/>
      <c r="T20" s="25">
        <f>0</f>
        <v>0</v>
      </c>
      <c r="U20" s="25"/>
    </row>
    <row r="21" spans="1:21" s="1" customFormat="1" ht="24" customHeight="1">
      <c r="A21" s="22" t="s">
        <v>51</v>
      </c>
      <c r="B21" s="22"/>
      <c r="C21" s="22"/>
      <c r="D21" s="22"/>
      <c r="E21" s="22"/>
      <c r="F21" s="22"/>
      <c r="G21" s="22"/>
      <c r="H21" s="22"/>
      <c r="I21" s="23" t="s">
        <v>36</v>
      </c>
      <c r="J21" s="23"/>
      <c r="K21" s="23" t="s">
        <v>52</v>
      </c>
      <c r="L21" s="23"/>
      <c r="M21" s="26" t="s">
        <v>41</v>
      </c>
      <c r="N21" s="26"/>
      <c r="O21" s="26"/>
      <c r="P21" s="24">
        <f>-2161.51</f>
        <v>-2161.5100000000002</v>
      </c>
      <c r="Q21" s="24"/>
      <c r="R21" s="24"/>
      <c r="S21" s="24"/>
      <c r="T21" s="25">
        <f>0</f>
        <v>0</v>
      </c>
      <c r="U21" s="25"/>
    </row>
    <row r="22" spans="1:21" s="1" customFormat="1" ht="24" customHeight="1">
      <c r="A22" s="22" t="s">
        <v>53</v>
      </c>
      <c r="B22" s="22"/>
      <c r="C22" s="22"/>
      <c r="D22" s="22"/>
      <c r="E22" s="22"/>
      <c r="F22" s="22"/>
      <c r="G22" s="22"/>
      <c r="H22" s="22"/>
      <c r="I22" s="23" t="s">
        <v>36</v>
      </c>
      <c r="J22" s="23"/>
      <c r="K22" s="23" t="s">
        <v>54</v>
      </c>
      <c r="L22" s="23"/>
      <c r="M22" s="24">
        <f>241000</f>
        <v>241000</v>
      </c>
      <c r="N22" s="24"/>
      <c r="O22" s="24"/>
      <c r="P22" s="24">
        <f>199979.69</f>
        <v>199979.69</v>
      </c>
      <c r="Q22" s="24"/>
      <c r="R22" s="24"/>
      <c r="S22" s="24"/>
      <c r="T22" s="25">
        <f>41020.31</f>
        <v>41020.31</v>
      </c>
      <c r="U22" s="25"/>
    </row>
    <row r="23" spans="1:21" s="1" customFormat="1" ht="24" customHeight="1">
      <c r="A23" s="22" t="s">
        <v>53</v>
      </c>
      <c r="B23" s="22"/>
      <c r="C23" s="22"/>
      <c r="D23" s="22"/>
      <c r="E23" s="22"/>
      <c r="F23" s="22"/>
      <c r="G23" s="22"/>
      <c r="H23" s="22"/>
      <c r="I23" s="23" t="s">
        <v>36</v>
      </c>
      <c r="J23" s="23"/>
      <c r="K23" s="23" t="s">
        <v>55</v>
      </c>
      <c r="L23" s="23"/>
      <c r="M23" s="26" t="s">
        <v>41</v>
      </c>
      <c r="N23" s="26"/>
      <c r="O23" s="26"/>
      <c r="P23" s="24">
        <f>2575.79</f>
        <v>2575.79</v>
      </c>
      <c r="Q23" s="24"/>
      <c r="R23" s="24"/>
      <c r="S23" s="24"/>
      <c r="T23" s="25">
        <f>0</f>
        <v>0</v>
      </c>
      <c r="U23" s="25"/>
    </row>
    <row r="24" spans="1:21" s="1" customFormat="1" ht="45" customHeight="1">
      <c r="A24" s="22" t="s">
        <v>56</v>
      </c>
      <c r="B24" s="22"/>
      <c r="C24" s="22"/>
      <c r="D24" s="22"/>
      <c r="E24" s="22"/>
      <c r="F24" s="22"/>
      <c r="G24" s="22"/>
      <c r="H24" s="22"/>
      <c r="I24" s="23" t="s">
        <v>36</v>
      </c>
      <c r="J24" s="23"/>
      <c r="K24" s="23" t="s">
        <v>57</v>
      </c>
      <c r="L24" s="23"/>
      <c r="M24" s="24">
        <f>3769000</f>
        <v>3769000</v>
      </c>
      <c r="N24" s="24"/>
      <c r="O24" s="24"/>
      <c r="P24" s="24">
        <f>1466380.57</f>
        <v>1466380.57</v>
      </c>
      <c r="Q24" s="24"/>
      <c r="R24" s="24"/>
      <c r="S24" s="24"/>
      <c r="T24" s="25">
        <f>2302619.43</f>
        <v>2302619.4300000002</v>
      </c>
      <c r="U24" s="25"/>
    </row>
    <row r="25" spans="1:21" s="1" customFormat="1" ht="45" customHeight="1">
      <c r="A25" s="22" t="s">
        <v>56</v>
      </c>
      <c r="B25" s="22"/>
      <c r="C25" s="22"/>
      <c r="D25" s="22"/>
      <c r="E25" s="22"/>
      <c r="F25" s="22"/>
      <c r="G25" s="22"/>
      <c r="H25" s="22"/>
      <c r="I25" s="23" t="s">
        <v>36</v>
      </c>
      <c r="J25" s="23"/>
      <c r="K25" s="23" t="s">
        <v>58</v>
      </c>
      <c r="L25" s="23"/>
      <c r="M25" s="26" t="s">
        <v>41</v>
      </c>
      <c r="N25" s="26"/>
      <c r="O25" s="26"/>
      <c r="P25" s="24">
        <f>21702.79</f>
        <v>21702.79</v>
      </c>
      <c r="Q25" s="24"/>
      <c r="R25" s="24"/>
      <c r="S25" s="24"/>
      <c r="T25" s="25">
        <f>0</f>
        <v>0</v>
      </c>
      <c r="U25" s="25"/>
    </row>
    <row r="26" spans="1:21" s="1" customFormat="1" ht="45" customHeight="1">
      <c r="A26" s="22" t="s">
        <v>59</v>
      </c>
      <c r="B26" s="22"/>
      <c r="C26" s="22"/>
      <c r="D26" s="22"/>
      <c r="E26" s="22"/>
      <c r="F26" s="22"/>
      <c r="G26" s="22"/>
      <c r="H26" s="22"/>
      <c r="I26" s="23" t="s">
        <v>36</v>
      </c>
      <c r="J26" s="23"/>
      <c r="K26" s="23" t="s">
        <v>60</v>
      </c>
      <c r="L26" s="23"/>
      <c r="M26" s="24">
        <f>356000</f>
        <v>356000</v>
      </c>
      <c r="N26" s="24"/>
      <c r="O26" s="24"/>
      <c r="P26" s="24">
        <f>204271.1</f>
        <v>204271.1</v>
      </c>
      <c r="Q26" s="24"/>
      <c r="R26" s="24"/>
      <c r="S26" s="24"/>
      <c r="T26" s="25">
        <f>151728.9</f>
        <v>151728.9</v>
      </c>
      <c r="U26" s="25"/>
    </row>
    <row r="27" spans="1:21" s="1" customFormat="1" ht="45" customHeight="1">
      <c r="A27" s="22" t="s">
        <v>59</v>
      </c>
      <c r="B27" s="22"/>
      <c r="C27" s="22"/>
      <c r="D27" s="22"/>
      <c r="E27" s="22"/>
      <c r="F27" s="22"/>
      <c r="G27" s="22"/>
      <c r="H27" s="22"/>
      <c r="I27" s="23" t="s">
        <v>36</v>
      </c>
      <c r="J27" s="23"/>
      <c r="K27" s="23" t="s">
        <v>61</v>
      </c>
      <c r="L27" s="23"/>
      <c r="M27" s="26" t="s">
        <v>41</v>
      </c>
      <c r="N27" s="26"/>
      <c r="O27" s="26"/>
      <c r="P27" s="24">
        <f>1034.77</f>
        <v>1034.77</v>
      </c>
      <c r="Q27" s="24"/>
      <c r="R27" s="24"/>
      <c r="S27" s="24"/>
      <c r="T27" s="25">
        <f>0</f>
        <v>0</v>
      </c>
      <c r="U27" s="25"/>
    </row>
    <row r="28" spans="1:21" s="1" customFormat="1" ht="45" customHeight="1">
      <c r="A28" s="22" t="s">
        <v>59</v>
      </c>
      <c r="B28" s="22"/>
      <c r="C28" s="22"/>
      <c r="D28" s="22"/>
      <c r="E28" s="22"/>
      <c r="F28" s="22"/>
      <c r="G28" s="22"/>
      <c r="H28" s="22"/>
      <c r="I28" s="23" t="s">
        <v>36</v>
      </c>
      <c r="J28" s="23"/>
      <c r="K28" s="23" t="s">
        <v>62</v>
      </c>
      <c r="L28" s="23"/>
      <c r="M28" s="26" t="s">
        <v>41</v>
      </c>
      <c r="N28" s="26"/>
      <c r="O28" s="26"/>
      <c r="P28" s="24">
        <f>-33.77</f>
        <v>-33.770000000000003</v>
      </c>
      <c r="Q28" s="24"/>
      <c r="R28" s="24"/>
      <c r="S28" s="24"/>
      <c r="T28" s="25">
        <f>0</f>
        <v>0</v>
      </c>
      <c r="U28" s="25"/>
    </row>
    <row r="29" spans="1:21" s="1" customFormat="1" ht="45" customHeight="1">
      <c r="A29" s="22" t="s">
        <v>63</v>
      </c>
      <c r="B29" s="22"/>
      <c r="C29" s="22"/>
      <c r="D29" s="22"/>
      <c r="E29" s="22"/>
      <c r="F29" s="22"/>
      <c r="G29" s="22"/>
      <c r="H29" s="22"/>
      <c r="I29" s="23" t="s">
        <v>36</v>
      </c>
      <c r="J29" s="23"/>
      <c r="K29" s="23" t="s">
        <v>64</v>
      </c>
      <c r="L29" s="23"/>
      <c r="M29" s="24">
        <f>570000</f>
        <v>570000</v>
      </c>
      <c r="N29" s="24"/>
      <c r="O29" s="24"/>
      <c r="P29" s="24">
        <f>504451.51</f>
        <v>504451.51</v>
      </c>
      <c r="Q29" s="24"/>
      <c r="R29" s="24"/>
      <c r="S29" s="24"/>
      <c r="T29" s="25">
        <f>65548.49</f>
        <v>65548.490000000005</v>
      </c>
      <c r="U29" s="25"/>
    </row>
    <row r="30" spans="1:21" s="1" customFormat="1" ht="45" customHeight="1">
      <c r="A30" s="22" t="s">
        <v>63</v>
      </c>
      <c r="B30" s="22"/>
      <c r="C30" s="22"/>
      <c r="D30" s="22"/>
      <c r="E30" s="22"/>
      <c r="F30" s="22"/>
      <c r="G30" s="22"/>
      <c r="H30" s="22"/>
      <c r="I30" s="23" t="s">
        <v>36</v>
      </c>
      <c r="J30" s="23"/>
      <c r="K30" s="23" t="s">
        <v>65</v>
      </c>
      <c r="L30" s="23"/>
      <c r="M30" s="24">
        <f>265000</f>
        <v>265000</v>
      </c>
      <c r="N30" s="24"/>
      <c r="O30" s="24"/>
      <c r="P30" s="24">
        <f>101875.44</f>
        <v>101875.44</v>
      </c>
      <c r="Q30" s="24"/>
      <c r="R30" s="24"/>
      <c r="S30" s="24"/>
      <c r="T30" s="25">
        <f>163124.56</f>
        <v>163124.56</v>
      </c>
      <c r="U30" s="25"/>
    </row>
    <row r="31" spans="1:21" s="1" customFormat="1" ht="45" customHeight="1">
      <c r="A31" s="22" t="s">
        <v>63</v>
      </c>
      <c r="B31" s="22"/>
      <c r="C31" s="22"/>
      <c r="D31" s="22"/>
      <c r="E31" s="22"/>
      <c r="F31" s="22"/>
      <c r="G31" s="22"/>
      <c r="H31" s="22"/>
      <c r="I31" s="23" t="s">
        <v>36</v>
      </c>
      <c r="J31" s="23"/>
      <c r="K31" s="23" t="s">
        <v>66</v>
      </c>
      <c r="L31" s="23"/>
      <c r="M31" s="24">
        <f>430000</f>
        <v>430000</v>
      </c>
      <c r="N31" s="24"/>
      <c r="O31" s="24"/>
      <c r="P31" s="24">
        <f>322969.84</f>
        <v>322969.84000000003</v>
      </c>
      <c r="Q31" s="24"/>
      <c r="R31" s="24"/>
      <c r="S31" s="24"/>
      <c r="T31" s="25">
        <f>107030.16</f>
        <v>107030.16</v>
      </c>
      <c r="U31" s="25"/>
    </row>
    <row r="32" spans="1:21" s="1" customFormat="1" ht="34.049999999999997" customHeight="1">
      <c r="A32" s="22" t="s">
        <v>67</v>
      </c>
      <c r="B32" s="22"/>
      <c r="C32" s="22"/>
      <c r="D32" s="22"/>
      <c r="E32" s="22"/>
      <c r="F32" s="22"/>
      <c r="G32" s="22"/>
      <c r="H32" s="22"/>
      <c r="I32" s="23" t="s">
        <v>36</v>
      </c>
      <c r="J32" s="23"/>
      <c r="K32" s="23" t="s">
        <v>68</v>
      </c>
      <c r="L32" s="23"/>
      <c r="M32" s="26" t="s">
        <v>41</v>
      </c>
      <c r="N32" s="26"/>
      <c r="O32" s="26"/>
      <c r="P32" s="24">
        <f>11151</f>
        <v>11151</v>
      </c>
      <c r="Q32" s="24"/>
      <c r="R32" s="24"/>
      <c r="S32" s="24"/>
      <c r="T32" s="25">
        <f>0</f>
        <v>0</v>
      </c>
      <c r="U32" s="25"/>
    </row>
    <row r="33" spans="1:21" s="1" customFormat="1" ht="45" customHeight="1">
      <c r="A33" s="22" t="s">
        <v>69</v>
      </c>
      <c r="B33" s="22"/>
      <c r="C33" s="22"/>
      <c r="D33" s="22"/>
      <c r="E33" s="22"/>
      <c r="F33" s="22"/>
      <c r="G33" s="22"/>
      <c r="H33" s="22"/>
      <c r="I33" s="23" t="s">
        <v>36</v>
      </c>
      <c r="J33" s="23"/>
      <c r="K33" s="23" t="s">
        <v>70</v>
      </c>
      <c r="L33" s="23"/>
      <c r="M33" s="26" t="s">
        <v>41</v>
      </c>
      <c r="N33" s="26"/>
      <c r="O33" s="26"/>
      <c r="P33" s="24">
        <f>31223.6</f>
        <v>31223.599999999999</v>
      </c>
      <c r="Q33" s="24"/>
      <c r="R33" s="24"/>
      <c r="S33" s="24"/>
      <c r="T33" s="25">
        <f>0</f>
        <v>0</v>
      </c>
      <c r="U33" s="25"/>
    </row>
    <row r="34" spans="1:21" s="1" customFormat="1" ht="24" customHeight="1">
      <c r="A34" s="22" t="s">
        <v>71</v>
      </c>
      <c r="B34" s="22"/>
      <c r="C34" s="22"/>
      <c r="D34" s="22"/>
      <c r="E34" s="22"/>
      <c r="F34" s="22"/>
      <c r="G34" s="22"/>
      <c r="H34" s="22"/>
      <c r="I34" s="23" t="s">
        <v>36</v>
      </c>
      <c r="J34" s="23"/>
      <c r="K34" s="23" t="s">
        <v>72</v>
      </c>
      <c r="L34" s="23"/>
      <c r="M34" s="24">
        <f>311730</f>
        <v>311730</v>
      </c>
      <c r="N34" s="24"/>
      <c r="O34" s="24"/>
      <c r="P34" s="24">
        <f>584767.38</f>
        <v>584767.38</v>
      </c>
      <c r="Q34" s="24"/>
      <c r="R34" s="24"/>
      <c r="S34" s="24"/>
      <c r="T34" s="25">
        <f>-273037.38</f>
        <v>-273037.38</v>
      </c>
      <c r="U34" s="25"/>
    </row>
    <row r="35" spans="1:21" s="1" customFormat="1" ht="13.95" customHeight="1">
      <c r="A35" s="22" t="s">
        <v>73</v>
      </c>
      <c r="B35" s="22"/>
      <c r="C35" s="22"/>
      <c r="D35" s="22"/>
      <c r="E35" s="22"/>
      <c r="F35" s="22"/>
      <c r="G35" s="22"/>
      <c r="H35" s="22"/>
      <c r="I35" s="23" t="s">
        <v>36</v>
      </c>
      <c r="J35" s="23"/>
      <c r="K35" s="23" t="s">
        <v>74</v>
      </c>
      <c r="L35" s="23"/>
      <c r="M35" s="26" t="s">
        <v>41</v>
      </c>
      <c r="N35" s="26"/>
      <c r="O35" s="26"/>
      <c r="P35" s="24">
        <f>0</f>
        <v>0</v>
      </c>
      <c r="Q35" s="24"/>
      <c r="R35" s="24"/>
      <c r="S35" s="24"/>
      <c r="T35" s="25">
        <f>0</f>
        <v>0</v>
      </c>
      <c r="U35" s="25"/>
    </row>
    <row r="36" spans="1:21" s="1" customFormat="1" ht="13.95" customHeight="1">
      <c r="A36" s="22" t="s">
        <v>75</v>
      </c>
      <c r="B36" s="22"/>
      <c r="C36" s="22"/>
      <c r="D36" s="22"/>
      <c r="E36" s="22"/>
      <c r="F36" s="22"/>
      <c r="G36" s="22"/>
      <c r="H36" s="22"/>
      <c r="I36" s="23" t="s">
        <v>36</v>
      </c>
      <c r="J36" s="23"/>
      <c r="K36" s="23" t="s">
        <v>76</v>
      </c>
      <c r="L36" s="23"/>
      <c r="M36" s="24">
        <f>1602500</f>
        <v>1602500</v>
      </c>
      <c r="N36" s="24"/>
      <c r="O36" s="24"/>
      <c r="P36" s="24">
        <f>1201800</f>
        <v>1201800</v>
      </c>
      <c r="Q36" s="24"/>
      <c r="R36" s="24"/>
      <c r="S36" s="24"/>
      <c r="T36" s="25">
        <f>400700</f>
        <v>400700</v>
      </c>
      <c r="U36" s="25"/>
    </row>
    <row r="37" spans="1:21" s="1" customFormat="1" ht="24" customHeight="1">
      <c r="A37" s="22" t="s">
        <v>77</v>
      </c>
      <c r="B37" s="22"/>
      <c r="C37" s="22"/>
      <c r="D37" s="22"/>
      <c r="E37" s="22"/>
      <c r="F37" s="22"/>
      <c r="G37" s="22"/>
      <c r="H37" s="22"/>
      <c r="I37" s="23" t="s">
        <v>36</v>
      </c>
      <c r="J37" s="23"/>
      <c r="K37" s="23" t="s">
        <v>78</v>
      </c>
      <c r="L37" s="23"/>
      <c r="M37" s="26" t="s">
        <v>41</v>
      </c>
      <c r="N37" s="26"/>
      <c r="O37" s="26"/>
      <c r="P37" s="24">
        <f>57000</f>
        <v>57000</v>
      </c>
      <c r="Q37" s="24"/>
      <c r="R37" s="24"/>
      <c r="S37" s="24"/>
      <c r="T37" s="25">
        <f>0</f>
        <v>0</v>
      </c>
      <c r="U37" s="25"/>
    </row>
    <row r="38" spans="1:21" s="1" customFormat="1" ht="24" customHeight="1">
      <c r="A38" s="22" t="s">
        <v>79</v>
      </c>
      <c r="B38" s="22"/>
      <c r="C38" s="22"/>
      <c r="D38" s="22"/>
      <c r="E38" s="22"/>
      <c r="F38" s="22"/>
      <c r="G38" s="22"/>
      <c r="H38" s="22"/>
      <c r="I38" s="23" t="s">
        <v>36</v>
      </c>
      <c r="J38" s="23"/>
      <c r="K38" s="23" t="s">
        <v>80</v>
      </c>
      <c r="L38" s="23"/>
      <c r="M38" s="24">
        <f>3640000</f>
        <v>3640000</v>
      </c>
      <c r="N38" s="24"/>
      <c r="O38" s="24"/>
      <c r="P38" s="26" t="s">
        <v>41</v>
      </c>
      <c r="Q38" s="26"/>
      <c r="R38" s="26"/>
      <c r="S38" s="26"/>
      <c r="T38" s="25">
        <f>3640000</f>
        <v>3640000</v>
      </c>
      <c r="U38" s="25"/>
    </row>
    <row r="39" spans="1:21" s="1" customFormat="1" ht="13.95" customHeight="1">
      <c r="A39" s="22" t="s">
        <v>81</v>
      </c>
      <c r="B39" s="22"/>
      <c r="C39" s="22"/>
      <c r="D39" s="22"/>
      <c r="E39" s="22"/>
      <c r="F39" s="22"/>
      <c r="G39" s="22"/>
      <c r="H39" s="22"/>
      <c r="I39" s="23" t="s">
        <v>36</v>
      </c>
      <c r="J39" s="23"/>
      <c r="K39" s="23" t="s">
        <v>82</v>
      </c>
      <c r="L39" s="23"/>
      <c r="M39" s="24">
        <f>3769377</f>
        <v>3769377</v>
      </c>
      <c r="N39" s="24"/>
      <c r="O39" s="24"/>
      <c r="P39" s="24">
        <f>522377</f>
        <v>522377</v>
      </c>
      <c r="Q39" s="24"/>
      <c r="R39" s="24"/>
      <c r="S39" s="24"/>
      <c r="T39" s="25">
        <f>3247000</f>
        <v>3247000</v>
      </c>
      <c r="U39" s="25"/>
    </row>
    <row r="40" spans="1:21" s="1" customFormat="1" ht="24" customHeight="1">
      <c r="A40" s="22" t="s">
        <v>83</v>
      </c>
      <c r="B40" s="22"/>
      <c r="C40" s="22"/>
      <c r="D40" s="22"/>
      <c r="E40" s="22"/>
      <c r="F40" s="22"/>
      <c r="G40" s="22"/>
      <c r="H40" s="22"/>
      <c r="I40" s="23" t="s">
        <v>36</v>
      </c>
      <c r="J40" s="23"/>
      <c r="K40" s="23" t="s">
        <v>84</v>
      </c>
      <c r="L40" s="23"/>
      <c r="M40" s="24">
        <f>282200</f>
        <v>282200</v>
      </c>
      <c r="N40" s="24"/>
      <c r="O40" s="24"/>
      <c r="P40" s="24">
        <f>282200</f>
        <v>282200</v>
      </c>
      <c r="Q40" s="24"/>
      <c r="R40" s="24"/>
      <c r="S40" s="24"/>
      <c r="T40" s="25">
        <f t="shared" ref="T40:T46" si="0">0</f>
        <v>0</v>
      </c>
      <c r="U40" s="25"/>
    </row>
    <row r="41" spans="1:21" s="1" customFormat="1" ht="24" customHeight="1">
      <c r="A41" s="22" t="s">
        <v>85</v>
      </c>
      <c r="B41" s="22"/>
      <c r="C41" s="22"/>
      <c r="D41" s="22"/>
      <c r="E41" s="22"/>
      <c r="F41" s="22"/>
      <c r="G41" s="22"/>
      <c r="H41" s="22"/>
      <c r="I41" s="23" t="s">
        <v>36</v>
      </c>
      <c r="J41" s="23"/>
      <c r="K41" s="23" t="s">
        <v>86</v>
      </c>
      <c r="L41" s="23"/>
      <c r="M41" s="24">
        <f>3700</f>
        <v>3700</v>
      </c>
      <c r="N41" s="24"/>
      <c r="O41" s="24"/>
      <c r="P41" s="24">
        <f>3700</f>
        <v>3700</v>
      </c>
      <c r="Q41" s="24"/>
      <c r="R41" s="24"/>
      <c r="S41" s="24"/>
      <c r="T41" s="25">
        <f t="shared" si="0"/>
        <v>0</v>
      </c>
      <c r="U41" s="25"/>
    </row>
    <row r="42" spans="1:21" s="1" customFormat="1" ht="13.95" customHeight="1">
      <c r="A42" s="22" t="s">
        <v>87</v>
      </c>
      <c r="B42" s="22"/>
      <c r="C42" s="22"/>
      <c r="D42" s="22"/>
      <c r="E42" s="22"/>
      <c r="F42" s="22"/>
      <c r="G42" s="22"/>
      <c r="H42" s="22"/>
      <c r="I42" s="23" t="s">
        <v>36</v>
      </c>
      <c r="J42" s="23"/>
      <c r="K42" s="23" t="s">
        <v>88</v>
      </c>
      <c r="L42" s="23"/>
      <c r="M42" s="24">
        <f>200000</f>
        <v>200000</v>
      </c>
      <c r="N42" s="24"/>
      <c r="O42" s="24"/>
      <c r="P42" s="24">
        <f>200000</f>
        <v>200000</v>
      </c>
      <c r="Q42" s="24"/>
      <c r="R42" s="24"/>
      <c r="S42" s="24"/>
      <c r="T42" s="25">
        <f t="shared" si="0"/>
        <v>0</v>
      </c>
      <c r="U42" s="25"/>
    </row>
    <row r="43" spans="1:21" s="1" customFormat="1" ht="24" customHeight="1">
      <c r="A43" s="22" t="s">
        <v>89</v>
      </c>
      <c r="B43" s="22"/>
      <c r="C43" s="22"/>
      <c r="D43" s="22"/>
      <c r="E43" s="22"/>
      <c r="F43" s="22"/>
      <c r="G43" s="22"/>
      <c r="H43" s="22"/>
      <c r="I43" s="23" t="s">
        <v>36</v>
      </c>
      <c r="J43" s="23"/>
      <c r="K43" s="23" t="s">
        <v>90</v>
      </c>
      <c r="L43" s="23"/>
      <c r="M43" s="26" t="s">
        <v>41</v>
      </c>
      <c r="N43" s="26"/>
      <c r="O43" s="26"/>
      <c r="P43" s="24">
        <f>40000</f>
        <v>40000</v>
      </c>
      <c r="Q43" s="24"/>
      <c r="R43" s="24"/>
      <c r="S43" s="24"/>
      <c r="T43" s="25">
        <f t="shared" si="0"/>
        <v>0</v>
      </c>
      <c r="U43" s="25"/>
    </row>
    <row r="44" spans="1:21" s="1" customFormat="1" ht="13.95" customHeight="1">
      <c r="A44" s="22" t="s">
        <v>91</v>
      </c>
      <c r="B44" s="22"/>
      <c r="C44" s="22"/>
      <c r="D44" s="22"/>
      <c r="E44" s="22"/>
      <c r="F44" s="22"/>
      <c r="G44" s="22"/>
      <c r="H44" s="22"/>
      <c r="I44" s="23" t="s">
        <v>36</v>
      </c>
      <c r="J44" s="23"/>
      <c r="K44" s="23" t="s">
        <v>92</v>
      </c>
      <c r="L44" s="23"/>
      <c r="M44" s="26" t="s">
        <v>41</v>
      </c>
      <c r="N44" s="26"/>
      <c r="O44" s="26"/>
      <c r="P44" s="24">
        <f>9665.37</f>
        <v>9665.3700000000008</v>
      </c>
      <c r="Q44" s="24"/>
      <c r="R44" s="24"/>
      <c r="S44" s="24"/>
      <c r="T44" s="25">
        <f t="shared" si="0"/>
        <v>0</v>
      </c>
      <c r="U44" s="25"/>
    </row>
    <row r="45" spans="1:21" s="1" customFormat="1" ht="45" customHeight="1">
      <c r="A45" s="22" t="s">
        <v>93</v>
      </c>
      <c r="B45" s="22"/>
      <c r="C45" s="22"/>
      <c r="D45" s="22"/>
      <c r="E45" s="22"/>
      <c r="F45" s="22"/>
      <c r="G45" s="22"/>
      <c r="H45" s="22"/>
      <c r="I45" s="23" t="s">
        <v>36</v>
      </c>
      <c r="J45" s="23"/>
      <c r="K45" s="23" t="s">
        <v>94</v>
      </c>
      <c r="L45" s="23"/>
      <c r="M45" s="26" t="s">
        <v>41</v>
      </c>
      <c r="N45" s="26"/>
      <c r="O45" s="26"/>
      <c r="P45" s="24">
        <f>0</f>
        <v>0</v>
      </c>
      <c r="Q45" s="24"/>
      <c r="R45" s="24"/>
      <c r="S45" s="24"/>
      <c r="T45" s="25">
        <f t="shared" si="0"/>
        <v>0</v>
      </c>
      <c r="U45" s="25"/>
    </row>
    <row r="46" spans="1:21" s="1" customFormat="1" ht="24" customHeight="1">
      <c r="A46" s="22" t="s">
        <v>95</v>
      </c>
      <c r="B46" s="22"/>
      <c r="C46" s="22"/>
      <c r="D46" s="22"/>
      <c r="E46" s="22"/>
      <c r="F46" s="22"/>
      <c r="G46" s="22"/>
      <c r="H46" s="22"/>
      <c r="I46" s="23" t="s">
        <v>36</v>
      </c>
      <c r="J46" s="23"/>
      <c r="K46" s="23" t="s">
        <v>96</v>
      </c>
      <c r="L46" s="23"/>
      <c r="M46" s="24">
        <f>-146593.75</f>
        <v>-146593.75</v>
      </c>
      <c r="N46" s="24"/>
      <c r="O46" s="24"/>
      <c r="P46" s="24">
        <f>-146593.75</f>
        <v>-146593.75</v>
      </c>
      <c r="Q46" s="24"/>
      <c r="R46" s="24"/>
      <c r="S46" s="24"/>
      <c r="T46" s="25">
        <f t="shared" si="0"/>
        <v>0</v>
      </c>
      <c r="U46" s="25"/>
    </row>
    <row r="47" spans="1:21" s="1" customFormat="1" ht="13.95" customHeight="1">
      <c r="A47" s="27" t="s">
        <v>11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s="1" customFormat="1" ht="13.95" customHeight="1">
      <c r="A48" s="11" t="s">
        <v>97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s="1" customFormat="1" ht="34.950000000000003" customHeight="1">
      <c r="A49" s="12" t="s">
        <v>23</v>
      </c>
      <c r="B49" s="12"/>
      <c r="C49" s="12"/>
      <c r="D49" s="12"/>
      <c r="E49" s="12"/>
      <c r="F49" s="12"/>
      <c r="G49" s="12"/>
      <c r="H49" s="12"/>
      <c r="I49" s="12" t="s">
        <v>24</v>
      </c>
      <c r="J49" s="12"/>
      <c r="K49" s="12" t="s">
        <v>98</v>
      </c>
      <c r="L49" s="12"/>
      <c r="M49" s="13" t="s">
        <v>26</v>
      </c>
      <c r="N49" s="13"/>
      <c r="O49" s="13"/>
      <c r="P49" s="13" t="s">
        <v>27</v>
      </c>
      <c r="Q49" s="13"/>
      <c r="R49" s="13"/>
      <c r="S49" s="13"/>
      <c r="T49" s="14" t="s">
        <v>28</v>
      </c>
      <c r="U49" s="14"/>
    </row>
    <row r="50" spans="1:21" s="1" customFormat="1" ht="13.95" customHeight="1">
      <c r="A50" s="15" t="s">
        <v>29</v>
      </c>
      <c r="B50" s="15"/>
      <c r="C50" s="15"/>
      <c r="D50" s="15"/>
      <c r="E50" s="15"/>
      <c r="F50" s="15"/>
      <c r="G50" s="15"/>
      <c r="H50" s="15"/>
      <c r="I50" s="15" t="s">
        <v>30</v>
      </c>
      <c r="J50" s="15"/>
      <c r="K50" s="15" t="s">
        <v>31</v>
      </c>
      <c r="L50" s="15"/>
      <c r="M50" s="16" t="s">
        <v>32</v>
      </c>
      <c r="N50" s="16"/>
      <c r="O50" s="16"/>
      <c r="P50" s="16" t="s">
        <v>33</v>
      </c>
      <c r="Q50" s="16"/>
      <c r="R50" s="16"/>
      <c r="S50" s="16"/>
      <c r="T50" s="17" t="s">
        <v>34</v>
      </c>
      <c r="U50" s="17"/>
    </row>
    <row r="51" spans="1:21" s="1" customFormat="1" ht="13.95" customHeight="1">
      <c r="A51" s="18" t="s">
        <v>99</v>
      </c>
      <c r="B51" s="18"/>
      <c r="C51" s="18"/>
      <c r="D51" s="18"/>
      <c r="E51" s="18"/>
      <c r="F51" s="18"/>
      <c r="G51" s="18"/>
      <c r="H51" s="18"/>
      <c r="I51" s="19" t="s">
        <v>100</v>
      </c>
      <c r="J51" s="19"/>
      <c r="K51" s="19" t="s">
        <v>37</v>
      </c>
      <c r="L51" s="19"/>
      <c r="M51" s="20">
        <f>24217515</f>
        <v>24217515</v>
      </c>
      <c r="N51" s="20"/>
      <c r="O51" s="20"/>
      <c r="P51" s="20">
        <f>8189233.68</f>
        <v>8189233.6799999997</v>
      </c>
      <c r="Q51" s="20"/>
      <c r="R51" s="20"/>
      <c r="S51" s="20"/>
      <c r="T51" s="21">
        <f>16028281.32</f>
        <v>16028281.32</v>
      </c>
      <c r="U51" s="21"/>
    </row>
    <row r="52" spans="1:21" s="1" customFormat="1" ht="13.95" customHeight="1">
      <c r="A52" s="28" t="s">
        <v>101</v>
      </c>
      <c r="B52" s="28"/>
      <c r="C52" s="28"/>
      <c r="D52" s="28"/>
      <c r="E52" s="28"/>
      <c r="F52" s="28"/>
      <c r="G52" s="28"/>
      <c r="H52" s="28"/>
      <c r="I52" s="29" t="s">
        <v>100</v>
      </c>
      <c r="J52" s="29"/>
      <c r="K52" s="29" t="s">
        <v>102</v>
      </c>
      <c r="L52" s="29"/>
      <c r="M52" s="30">
        <f>373048</f>
        <v>373048</v>
      </c>
      <c r="N52" s="30"/>
      <c r="O52" s="30"/>
      <c r="P52" s="30">
        <f>255849.33</f>
        <v>255849.33</v>
      </c>
      <c r="Q52" s="30"/>
      <c r="R52" s="30"/>
      <c r="S52" s="30"/>
      <c r="T52" s="31">
        <f>117198.67</f>
        <v>117198.67</v>
      </c>
      <c r="U52" s="31"/>
    </row>
    <row r="53" spans="1:21" s="1" customFormat="1" ht="13.95" customHeight="1">
      <c r="A53" s="28" t="s">
        <v>103</v>
      </c>
      <c r="B53" s="28"/>
      <c r="C53" s="28"/>
      <c r="D53" s="28"/>
      <c r="E53" s="28"/>
      <c r="F53" s="28"/>
      <c r="G53" s="28"/>
      <c r="H53" s="28"/>
      <c r="I53" s="29" t="s">
        <v>100</v>
      </c>
      <c r="J53" s="29"/>
      <c r="K53" s="29" t="s">
        <v>104</v>
      </c>
      <c r="L53" s="29"/>
      <c r="M53" s="30">
        <f>112660</f>
        <v>112660</v>
      </c>
      <c r="N53" s="30"/>
      <c r="O53" s="30"/>
      <c r="P53" s="30">
        <f>75140.57</f>
        <v>75140.570000000007</v>
      </c>
      <c r="Q53" s="30"/>
      <c r="R53" s="30"/>
      <c r="S53" s="30"/>
      <c r="T53" s="31">
        <f>37519.43</f>
        <v>37519.43</v>
      </c>
      <c r="U53" s="31"/>
    </row>
    <row r="54" spans="1:21" s="1" customFormat="1" ht="13.95" customHeight="1">
      <c r="A54" s="28" t="s">
        <v>101</v>
      </c>
      <c r="B54" s="28"/>
      <c r="C54" s="28"/>
      <c r="D54" s="28"/>
      <c r="E54" s="28"/>
      <c r="F54" s="28"/>
      <c r="G54" s="28"/>
      <c r="H54" s="28"/>
      <c r="I54" s="29" t="s">
        <v>100</v>
      </c>
      <c r="J54" s="29"/>
      <c r="K54" s="29" t="s">
        <v>105</v>
      </c>
      <c r="L54" s="29"/>
      <c r="M54" s="30">
        <f>1750562</f>
        <v>1750562</v>
      </c>
      <c r="N54" s="30"/>
      <c r="O54" s="30"/>
      <c r="P54" s="30">
        <f>1329410.61</f>
        <v>1329410.6100000001</v>
      </c>
      <c r="Q54" s="30"/>
      <c r="R54" s="30"/>
      <c r="S54" s="30"/>
      <c r="T54" s="31">
        <f>421151.39</f>
        <v>421151.39</v>
      </c>
      <c r="U54" s="31"/>
    </row>
    <row r="55" spans="1:21" s="1" customFormat="1" ht="13.95" customHeight="1">
      <c r="A55" s="28" t="s">
        <v>103</v>
      </c>
      <c r="B55" s="28"/>
      <c r="C55" s="28"/>
      <c r="D55" s="28"/>
      <c r="E55" s="28"/>
      <c r="F55" s="28"/>
      <c r="G55" s="28"/>
      <c r="H55" s="28"/>
      <c r="I55" s="29" t="s">
        <v>100</v>
      </c>
      <c r="J55" s="29"/>
      <c r="K55" s="29" t="s">
        <v>106</v>
      </c>
      <c r="L55" s="29"/>
      <c r="M55" s="30">
        <f>528670</f>
        <v>528670</v>
      </c>
      <c r="N55" s="30"/>
      <c r="O55" s="30"/>
      <c r="P55" s="30">
        <f>376426.4</f>
        <v>376426.4</v>
      </c>
      <c r="Q55" s="30"/>
      <c r="R55" s="30"/>
      <c r="S55" s="30"/>
      <c r="T55" s="31">
        <f>152243.6</f>
        <v>152243.6</v>
      </c>
      <c r="U55" s="31"/>
    </row>
    <row r="56" spans="1:21" s="1" customFormat="1" ht="13.95" customHeight="1">
      <c r="A56" s="28" t="s">
        <v>107</v>
      </c>
      <c r="B56" s="28"/>
      <c r="C56" s="28"/>
      <c r="D56" s="28"/>
      <c r="E56" s="28"/>
      <c r="F56" s="28"/>
      <c r="G56" s="28"/>
      <c r="H56" s="28"/>
      <c r="I56" s="29" t="s">
        <v>100</v>
      </c>
      <c r="J56" s="29"/>
      <c r="K56" s="29" t="s">
        <v>108</v>
      </c>
      <c r="L56" s="29"/>
      <c r="M56" s="30">
        <f>130000</f>
        <v>130000</v>
      </c>
      <c r="N56" s="30"/>
      <c r="O56" s="30"/>
      <c r="P56" s="30">
        <f>110439.38</f>
        <v>110439.38</v>
      </c>
      <c r="Q56" s="30"/>
      <c r="R56" s="30"/>
      <c r="S56" s="30"/>
      <c r="T56" s="31">
        <f>19560.62</f>
        <v>19560.62</v>
      </c>
      <c r="U56" s="31"/>
    </row>
    <row r="57" spans="1:21" s="1" customFormat="1" ht="13.95" customHeight="1">
      <c r="A57" s="28" t="s">
        <v>109</v>
      </c>
      <c r="B57" s="28"/>
      <c r="C57" s="28"/>
      <c r="D57" s="28"/>
      <c r="E57" s="28"/>
      <c r="F57" s="28"/>
      <c r="G57" s="28"/>
      <c r="H57" s="28"/>
      <c r="I57" s="29" t="s">
        <v>100</v>
      </c>
      <c r="J57" s="29"/>
      <c r="K57" s="29" t="s">
        <v>110</v>
      </c>
      <c r="L57" s="29"/>
      <c r="M57" s="30">
        <f>4400</f>
        <v>4400</v>
      </c>
      <c r="N57" s="30"/>
      <c r="O57" s="30"/>
      <c r="P57" s="32" t="s">
        <v>41</v>
      </c>
      <c r="Q57" s="32"/>
      <c r="R57" s="32"/>
      <c r="S57" s="32"/>
      <c r="T57" s="31">
        <f>4400</f>
        <v>4400</v>
      </c>
      <c r="U57" s="31"/>
    </row>
    <row r="58" spans="1:21" s="1" customFormat="1" ht="13.95" customHeight="1">
      <c r="A58" s="28" t="s">
        <v>111</v>
      </c>
      <c r="B58" s="28"/>
      <c r="C58" s="28"/>
      <c r="D58" s="28"/>
      <c r="E58" s="28"/>
      <c r="F58" s="28"/>
      <c r="G58" s="28"/>
      <c r="H58" s="28"/>
      <c r="I58" s="29" t="s">
        <v>100</v>
      </c>
      <c r="J58" s="29"/>
      <c r="K58" s="29" t="s">
        <v>112</v>
      </c>
      <c r="L58" s="29"/>
      <c r="M58" s="30">
        <f>94964</f>
        <v>94964</v>
      </c>
      <c r="N58" s="30"/>
      <c r="O58" s="30"/>
      <c r="P58" s="30">
        <f>64663.37</f>
        <v>64663.37</v>
      </c>
      <c r="Q58" s="30"/>
      <c r="R58" s="30"/>
      <c r="S58" s="30"/>
      <c r="T58" s="31">
        <f>30300.63</f>
        <v>30300.63</v>
      </c>
      <c r="U58" s="31"/>
    </row>
    <row r="59" spans="1:21" s="1" customFormat="1" ht="13.95" customHeight="1">
      <c r="A59" s="28" t="s">
        <v>113</v>
      </c>
      <c r="B59" s="28"/>
      <c r="C59" s="28"/>
      <c r="D59" s="28"/>
      <c r="E59" s="28"/>
      <c r="F59" s="28"/>
      <c r="G59" s="28"/>
      <c r="H59" s="28"/>
      <c r="I59" s="29" t="s">
        <v>100</v>
      </c>
      <c r="J59" s="29"/>
      <c r="K59" s="29" t="s">
        <v>114</v>
      </c>
      <c r="L59" s="29"/>
      <c r="M59" s="30">
        <f>200000</f>
        <v>200000</v>
      </c>
      <c r="N59" s="30"/>
      <c r="O59" s="30"/>
      <c r="P59" s="32" t="s">
        <v>41</v>
      </c>
      <c r="Q59" s="32"/>
      <c r="R59" s="32"/>
      <c r="S59" s="32"/>
      <c r="T59" s="31">
        <f>200000</f>
        <v>200000</v>
      </c>
      <c r="U59" s="31"/>
    </row>
    <row r="60" spans="1:21" s="1" customFormat="1" ht="13.95" customHeight="1">
      <c r="A60" s="28" t="s">
        <v>115</v>
      </c>
      <c r="B60" s="28"/>
      <c r="C60" s="28"/>
      <c r="D60" s="28"/>
      <c r="E60" s="28"/>
      <c r="F60" s="28"/>
      <c r="G60" s="28"/>
      <c r="H60" s="28"/>
      <c r="I60" s="29" t="s">
        <v>100</v>
      </c>
      <c r="J60" s="29"/>
      <c r="K60" s="29" t="s">
        <v>116</v>
      </c>
      <c r="L60" s="29"/>
      <c r="M60" s="30">
        <f>150000</f>
        <v>150000</v>
      </c>
      <c r="N60" s="30"/>
      <c r="O60" s="30"/>
      <c r="P60" s="30">
        <f>95520.65</f>
        <v>95520.65</v>
      </c>
      <c r="Q60" s="30"/>
      <c r="R60" s="30"/>
      <c r="S60" s="30"/>
      <c r="T60" s="31">
        <f>54479.35</f>
        <v>54479.35</v>
      </c>
      <c r="U60" s="31"/>
    </row>
    <row r="61" spans="1:21" s="1" customFormat="1" ht="13.95" customHeight="1">
      <c r="A61" s="28" t="s">
        <v>117</v>
      </c>
      <c r="B61" s="28"/>
      <c r="C61" s="28"/>
      <c r="D61" s="28"/>
      <c r="E61" s="28"/>
      <c r="F61" s="28"/>
      <c r="G61" s="28"/>
      <c r="H61" s="28"/>
      <c r="I61" s="29" t="s">
        <v>100</v>
      </c>
      <c r="J61" s="29"/>
      <c r="K61" s="29" t="s">
        <v>118</v>
      </c>
      <c r="L61" s="29"/>
      <c r="M61" s="30">
        <f>38200</f>
        <v>38200</v>
      </c>
      <c r="N61" s="30"/>
      <c r="O61" s="30"/>
      <c r="P61" s="30">
        <f>38106</f>
        <v>38106</v>
      </c>
      <c r="Q61" s="30"/>
      <c r="R61" s="30"/>
      <c r="S61" s="30"/>
      <c r="T61" s="31">
        <f>94</f>
        <v>94</v>
      </c>
      <c r="U61" s="31"/>
    </row>
    <row r="62" spans="1:21" s="1" customFormat="1" ht="13.95" customHeight="1">
      <c r="A62" s="28" t="s">
        <v>119</v>
      </c>
      <c r="B62" s="28"/>
      <c r="C62" s="28"/>
      <c r="D62" s="28"/>
      <c r="E62" s="28"/>
      <c r="F62" s="28"/>
      <c r="G62" s="28"/>
      <c r="H62" s="28"/>
      <c r="I62" s="29" t="s">
        <v>100</v>
      </c>
      <c r="J62" s="29"/>
      <c r="K62" s="29" t="s">
        <v>120</v>
      </c>
      <c r="L62" s="29"/>
      <c r="M62" s="30">
        <f>241800</f>
        <v>241800</v>
      </c>
      <c r="N62" s="30"/>
      <c r="O62" s="30"/>
      <c r="P62" s="30">
        <f>159119</f>
        <v>159119</v>
      </c>
      <c r="Q62" s="30"/>
      <c r="R62" s="30"/>
      <c r="S62" s="30"/>
      <c r="T62" s="31">
        <f>82681</f>
        <v>82681</v>
      </c>
      <c r="U62" s="31"/>
    </row>
    <row r="63" spans="1:21" s="1" customFormat="1" ht="13.95" customHeight="1">
      <c r="A63" s="28" t="s">
        <v>121</v>
      </c>
      <c r="B63" s="28"/>
      <c r="C63" s="28"/>
      <c r="D63" s="28"/>
      <c r="E63" s="28"/>
      <c r="F63" s="28"/>
      <c r="G63" s="28"/>
      <c r="H63" s="28"/>
      <c r="I63" s="29" t="s">
        <v>100</v>
      </c>
      <c r="J63" s="29"/>
      <c r="K63" s="29" t="s">
        <v>122</v>
      </c>
      <c r="L63" s="29"/>
      <c r="M63" s="30">
        <f>15000</f>
        <v>15000</v>
      </c>
      <c r="N63" s="30"/>
      <c r="O63" s="30"/>
      <c r="P63" s="32" t="s">
        <v>41</v>
      </c>
      <c r="Q63" s="32"/>
      <c r="R63" s="32"/>
      <c r="S63" s="32"/>
      <c r="T63" s="31">
        <f>15000</f>
        <v>15000</v>
      </c>
      <c r="U63" s="31"/>
    </row>
    <row r="64" spans="1:21" s="1" customFormat="1" ht="13.95" customHeight="1">
      <c r="A64" s="28" t="s">
        <v>123</v>
      </c>
      <c r="B64" s="28"/>
      <c r="C64" s="28"/>
      <c r="D64" s="28"/>
      <c r="E64" s="28"/>
      <c r="F64" s="28"/>
      <c r="G64" s="28"/>
      <c r="H64" s="28"/>
      <c r="I64" s="29" t="s">
        <v>100</v>
      </c>
      <c r="J64" s="29"/>
      <c r="K64" s="29" t="s">
        <v>124</v>
      </c>
      <c r="L64" s="29"/>
      <c r="M64" s="30">
        <f>230000</f>
        <v>230000</v>
      </c>
      <c r="N64" s="30"/>
      <c r="O64" s="30"/>
      <c r="P64" s="30">
        <f>185765.4</f>
        <v>185765.4</v>
      </c>
      <c r="Q64" s="30"/>
      <c r="R64" s="30"/>
      <c r="S64" s="30"/>
      <c r="T64" s="31">
        <f>44234.6</f>
        <v>44234.6</v>
      </c>
      <c r="U64" s="31"/>
    </row>
    <row r="65" spans="1:21" s="1" customFormat="1" ht="13.95" customHeight="1">
      <c r="A65" s="28" t="s">
        <v>107</v>
      </c>
      <c r="B65" s="28"/>
      <c r="C65" s="28"/>
      <c r="D65" s="28"/>
      <c r="E65" s="28"/>
      <c r="F65" s="28"/>
      <c r="G65" s="28"/>
      <c r="H65" s="28"/>
      <c r="I65" s="29" t="s">
        <v>100</v>
      </c>
      <c r="J65" s="29"/>
      <c r="K65" s="29" t="s">
        <v>125</v>
      </c>
      <c r="L65" s="29"/>
      <c r="M65" s="30">
        <f>3700</f>
        <v>3700</v>
      </c>
      <c r="N65" s="30"/>
      <c r="O65" s="30"/>
      <c r="P65" s="30">
        <f>3700</f>
        <v>3700</v>
      </c>
      <c r="Q65" s="30"/>
      <c r="R65" s="30"/>
      <c r="S65" s="30"/>
      <c r="T65" s="31">
        <f>0</f>
        <v>0</v>
      </c>
      <c r="U65" s="31"/>
    </row>
    <row r="66" spans="1:21" s="1" customFormat="1" ht="13.95" customHeight="1">
      <c r="A66" s="28" t="s">
        <v>121</v>
      </c>
      <c r="B66" s="28"/>
      <c r="C66" s="28"/>
      <c r="D66" s="28"/>
      <c r="E66" s="28"/>
      <c r="F66" s="28"/>
      <c r="G66" s="28"/>
      <c r="H66" s="28"/>
      <c r="I66" s="29" t="s">
        <v>100</v>
      </c>
      <c r="J66" s="29"/>
      <c r="K66" s="29" t="s">
        <v>126</v>
      </c>
      <c r="L66" s="29"/>
      <c r="M66" s="30">
        <f>129000</f>
        <v>129000</v>
      </c>
      <c r="N66" s="30"/>
      <c r="O66" s="30"/>
      <c r="P66" s="32" t="s">
        <v>41</v>
      </c>
      <c r="Q66" s="32"/>
      <c r="R66" s="32"/>
      <c r="S66" s="32"/>
      <c r="T66" s="31">
        <f>129000</f>
        <v>129000</v>
      </c>
      <c r="U66" s="31"/>
    </row>
    <row r="67" spans="1:21" s="1" customFormat="1" ht="13.95" customHeight="1">
      <c r="A67" s="28" t="s">
        <v>121</v>
      </c>
      <c r="B67" s="28"/>
      <c r="C67" s="28"/>
      <c r="D67" s="28"/>
      <c r="E67" s="28"/>
      <c r="F67" s="28"/>
      <c r="G67" s="28"/>
      <c r="H67" s="28"/>
      <c r="I67" s="29" t="s">
        <v>100</v>
      </c>
      <c r="J67" s="29"/>
      <c r="K67" s="29" t="s">
        <v>127</v>
      </c>
      <c r="L67" s="29"/>
      <c r="M67" s="30">
        <f>15000</f>
        <v>15000</v>
      </c>
      <c r="N67" s="30"/>
      <c r="O67" s="30"/>
      <c r="P67" s="32" t="s">
        <v>41</v>
      </c>
      <c r="Q67" s="32"/>
      <c r="R67" s="32"/>
      <c r="S67" s="32"/>
      <c r="T67" s="31">
        <f>15000</f>
        <v>15000</v>
      </c>
      <c r="U67" s="31"/>
    </row>
    <row r="68" spans="1:21" s="1" customFormat="1" ht="13.95" customHeight="1">
      <c r="A68" s="28" t="s">
        <v>101</v>
      </c>
      <c r="B68" s="28"/>
      <c r="C68" s="28"/>
      <c r="D68" s="28"/>
      <c r="E68" s="28"/>
      <c r="F68" s="28"/>
      <c r="G68" s="28"/>
      <c r="H68" s="28"/>
      <c r="I68" s="29" t="s">
        <v>100</v>
      </c>
      <c r="J68" s="29"/>
      <c r="K68" s="29" t="s">
        <v>128</v>
      </c>
      <c r="L68" s="29"/>
      <c r="M68" s="30">
        <f>607530</f>
        <v>607530</v>
      </c>
      <c r="N68" s="30"/>
      <c r="O68" s="30"/>
      <c r="P68" s="30">
        <f>473347.39</f>
        <v>473347.39</v>
      </c>
      <c r="Q68" s="30"/>
      <c r="R68" s="30"/>
      <c r="S68" s="30"/>
      <c r="T68" s="31">
        <f>134182.61</f>
        <v>134182.60999999999</v>
      </c>
      <c r="U68" s="31"/>
    </row>
    <row r="69" spans="1:21" s="1" customFormat="1" ht="13.95" customHeight="1">
      <c r="A69" s="28" t="s">
        <v>103</v>
      </c>
      <c r="B69" s="28"/>
      <c r="C69" s="28"/>
      <c r="D69" s="28"/>
      <c r="E69" s="28"/>
      <c r="F69" s="28"/>
      <c r="G69" s="28"/>
      <c r="H69" s="28"/>
      <c r="I69" s="29" t="s">
        <v>100</v>
      </c>
      <c r="J69" s="29"/>
      <c r="K69" s="29" t="s">
        <v>129</v>
      </c>
      <c r="L69" s="29"/>
      <c r="M69" s="30">
        <f>283974</f>
        <v>283974</v>
      </c>
      <c r="N69" s="30"/>
      <c r="O69" s="30"/>
      <c r="P69" s="30">
        <f>66396.8</f>
        <v>66396.800000000003</v>
      </c>
      <c r="Q69" s="30"/>
      <c r="R69" s="30"/>
      <c r="S69" s="30"/>
      <c r="T69" s="31">
        <f>217577.2</f>
        <v>217577.2</v>
      </c>
      <c r="U69" s="31"/>
    </row>
    <row r="70" spans="1:21" s="1" customFormat="1" ht="13.95" customHeight="1">
      <c r="A70" s="28" t="s">
        <v>115</v>
      </c>
      <c r="B70" s="28"/>
      <c r="C70" s="28"/>
      <c r="D70" s="28"/>
      <c r="E70" s="28"/>
      <c r="F70" s="28"/>
      <c r="G70" s="28"/>
      <c r="H70" s="28"/>
      <c r="I70" s="29" t="s">
        <v>100</v>
      </c>
      <c r="J70" s="29"/>
      <c r="K70" s="29" t="s">
        <v>130</v>
      </c>
      <c r="L70" s="29"/>
      <c r="M70" s="30">
        <f>2000</f>
        <v>2000</v>
      </c>
      <c r="N70" s="30"/>
      <c r="O70" s="30"/>
      <c r="P70" s="30">
        <f>844.88</f>
        <v>844.88</v>
      </c>
      <c r="Q70" s="30"/>
      <c r="R70" s="30"/>
      <c r="S70" s="30"/>
      <c r="T70" s="31">
        <f>1155.12</f>
        <v>1155.1199999999999</v>
      </c>
      <c r="U70" s="31"/>
    </row>
    <row r="71" spans="1:21" s="1" customFormat="1" ht="13.95" customHeight="1">
      <c r="A71" s="28" t="s">
        <v>117</v>
      </c>
      <c r="B71" s="28"/>
      <c r="C71" s="28"/>
      <c r="D71" s="28"/>
      <c r="E71" s="28"/>
      <c r="F71" s="28"/>
      <c r="G71" s="28"/>
      <c r="H71" s="28"/>
      <c r="I71" s="29" t="s">
        <v>100</v>
      </c>
      <c r="J71" s="29"/>
      <c r="K71" s="29" t="s">
        <v>131</v>
      </c>
      <c r="L71" s="29"/>
      <c r="M71" s="30">
        <f>38000</f>
        <v>38000</v>
      </c>
      <c r="N71" s="30"/>
      <c r="O71" s="30"/>
      <c r="P71" s="30">
        <f>36027</f>
        <v>36027</v>
      </c>
      <c r="Q71" s="30"/>
      <c r="R71" s="30"/>
      <c r="S71" s="30"/>
      <c r="T71" s="31">
        <f>1973</f>
        <v>1973</v>
      </c>
      <c r="U71" s="31"/>
    </row>
    <row r="72" spans="1:21" s="1" customFormat="1" ht="13.95" customHeight="1">
      <c r="A72" s="28" t="s">
        <v>123</v>
      </c>
      <c r="B72" s="28"/>
      <c r="C72" s="28"/>
      <c r="D72" s="28"/>
      <c r="E72" s="28"/>
      <c r="F72" s="28"/>
      <c r="G72" s="28"/>
      <c r="H72" s="28"/>
      <c r="I72" s="29" t="s">
        <v>100</v>
      </c>
      <c r="J72" s="29"/>
      <c r="K72" s="29" t="s">
        <v>132</v>
      </c>
      <c r="L72" s="29"/>
      <c r="M72" s="30">
        <f>5000</f>
        <v>5000</v>
      </c>
      <c r="N72" s="30"/>
      <c r="O72" s="30"/>
      <c r="P72" s="30">
        <f>314.77</f>
        <v>314.77</v>
      </c>
      <c r="Q72" s="30"/>
      <c r="R72" s="30"/>
      <c r="S72" s="30"/>
      <c r="T72" s="31">
        <f>4685.23</f>
        <v>4685.2299999999996</v>
      </c>
      <c r="U72" s="31"/>
    </row>
    <row r="73" spans="1:21" s="1" customFormat="1" ht="13.95" customHeight="1">
      <c r="A73" s="28" t="s">
        <v>115</v>
      </c>
      <c r="B73" s="28"/>
      <c r="C73" s="28"/>
      <c r="D73" s="28"/>
      <c r="E73" s="28"/>
      <c r="F73" s="28"/>
      <c r="G73" s="28"/>
      <c r="H73" s="28"/>
      <c r="I73" s="29" t="s">
        <v>100</v>
      </c>
      <c r="J73" s="29"/>
      <c r="K73" s="29" t="s">
        <v>133</v>
      </c>
      <c r="L73" s="29"/>
      <c r="M73" s="30">
        <f>25500</f>
        <v>25500</v>
      </c>
      <c r="N73" s="30"/>
      <c r="O73" s="30"/>
      <c r="P73" s="30">
        <f>16877</f>
        <v>16877</v>
      </c>
      <c r="Q73" s="30"/>
      <c r="R73" s="30"/>
      <c r="S73" s="30"/>
      <c r="T73" s="31">
        <f>8623</f>
        <v>8623</v>
      </c>
      <c r="U73" s="31"/>
    </row>
    <row r="74" spans="1:21" s="1" customFormat="1" ht="13.95" customHeight="1">
      <c r="A74" s="28" t="s">
        <v>123</v>
      </c>
      <c r="B74" s="28"/>
      <c r="C74" s="28"/>
      <c r="D74" s="28"/>
      <c r="E74" s="28"/>
      <c r="F74" s="28"/>
      <c r="G74" s="28"/>
      <c r="H74" s="28"/>
      <c r="I74" s="29" t="s">
        <v>100</v>
      </c>
      <c r="J74" s="29"/>
      <c r="K74" s="29" t="s">
        <v>134</v>
      </c>
      <c r="L74" s="29"/>
      <c r="M74" s="30">
        <f>126000</f>
        <v>126000</v>
      </c>
      <c r="N74" s="30"/>
      <c r="O74" s="30"/>
      <c r="P74" s="30">
        <f>81000</f>
        <v>81000</v>
      </c>
      <c r="Q74" s="30"/>
      <c r="R74" s="30"/>
      <c r="S74" s="30"/>
      <c r="T74" s="31">
        <f>45000</f>
        <v>45000</v>
      </c>
      <c r="U74" s="31"/>
    </row>
    <row r="75" spans="1:21" s="1" customFormat="1" ht="13.95" customHeight="1">
      <c r="A75" s="28" t="s">
        <v>101</v>
      </c>
      <c r="B75" s="28"/>
      <c r="C75" s="28"/>
      <c r="D75" s="28"/>
      <c r="E75" s="28"/>
      <c r="F75" s="28"/>
      <c r="G75" s="28"/>
      <c r="H75" s="28"/>
      <c r="I75" s="29" t="s">
        <v>100</v>
      </c>
      <c r="J75" s="29"/>
      <c r="K75" s="29" t="s">
        <v>135</v>
      </c>
      <c r="L75" s="29"/>
      <c r="M75" s="30">
        <f>218080</f>
        <v>218080</v>
      </c>
      <c r="N75" s="30"/>
      <c r="O75" s="30"/>
      <c r="P75" s="30">
        <f>125397.68</f>
        <v>125397.68</v>
      </c>
      <c r="Q75" s="30"/>
      <c r="R75" s="30"/>
      <c r="S75" s="30"/>
      <c r="T75" s="31">
        <f>92682.32</f>
        <v>92682.32</v>
      </c>
      <c r="U75" s="31"/>
    </row>
    <row r="76" spans="1:21" s="1" customFormat="1" ht="13.95" customHeight="1">
      <c r="A76" s="28" t="s">
        <v>103</v>
      </c>
      <c r="B76" s="28"/>
      <c r="C76" s="28"/>
      <c r="D76" s="28"/>
      <c r="E76" s="28"/>
      <c r="F76" s="28"/>
      <c r="G76" s="28"/>
      <c r="H76" s="28"/>
      <c r="I76" s="29" t="s">
        <v>100</v>
      </c>
      <c r="J76" s="29"/>
      <c r="K76" s="29" t="s">
        <v>136</v>
      </c>
      <c r="L76" s="29"/>
      <c r="M76" s="30">
        <f>64120</f>
        <v>64120</v>
      </c>
      <c r="N76" s="30"/>
      <c r="O76" s="30"/>
      <c r="P76" s="30">
        <f>35297.1</f>
        <v>35297.1</v>
      </c>
      <c r="Q76" s="30"/>
      <c r="R76" s="30"/>
      <c r="S76" s="30"/>
      <c r="T76" s="31">
        <f>28822.9</f>
        <v>28822.9</v>
      </c>
      <c r="U76" s="31"/>
    </row>
    <row r="77" spans="1:21" s="1" customFormat="1" ht="13.95" customHeight="1">
      <c r="A77" s="28" t="s">
        <v>115</v>
      </c>
      <c r="B77" s="28"/>
      <c r="C77" s="28"/>
      <c r="D77" s="28"/>
      <c r="E77" s="28"/>
      <c r="F77" s="28"/>
      <c r="G77" s="28"/>
      <c r="H77" s="28"/>
      <c r="I77" s="29" t="s">
        <v>100</v>
      </c>
      <c r="J77" s="29"/>
      <c r="K77" s="29" t="s">
        <v>137</v>
      </c>
      <c r="L77" s="29"/>
      <c r="M77" s="30">
        <f>15500</f>
        <v>15500</v>
      </c>
      <c r="N77" s="30"/>
      <c r="O77" s="30"/>
      <c r="P77" s="30">
        <f>15218.4</f>
        <v>15218.4</v>
      </c>
      <c r="Q77" s="30"/>
      <c r="R77" s="30"/>
      <c r="S77" s="30"/>
      <c r="T77" s="31">
        <f>281.6</f>
        <v>281.60000000000002</v>
      </c>
      <c r="U77" s="31"/>
    </row>
    <row r="78" spans="1:21" s="1" customFormat="1" ht="13.95" customHeight="1">
      <c r="A78" s="28" t="s">
        <v>117</v>
      </c>
      <c r="B78" s="28"/>
      <c r="C78" s="28"/>
      <c r="D78" s="28"/>
      <c r="E78" s="28"/>
      <c r="F78" s="28"/>
      <c r="G78" s="28"/>
      <c r="H78" s="28"/>
      <c r="I78" s="29" t="s">
        <v>100</v>
      </c>
      <c r="J78" s="29"/>
      <c r="K78" s="29" t="s">
        <v>138</v>
      </c>
      <c r="L78" s="29"/>
      <c r="M78" s="30">
        <f>0</f>
        <v>0</v>
      </c>
      <c r="N78" s="30"/>
      <c r="O78" s="30"/>
      <c r="P78" s="32" t="s">
        <v>41</v>
      </c>
      <c r="Q78" s="32"/>
      <c r="R78" s="32"/>
      <c r="S78" s="32"/>
      <c r="T78" s="31">
        <f>0</f>
        <v>0</v>
      </c>
      <c r="U78" s="31"/>
    </row>
    <row r="79" spans="1:21" s="1" customFormat="1" ht="13.95" customHeight="1">
      <c r="A79" s="28" t="s">
        <v>115</v>
      </c>
      <c r="B79" s="28"/>
      <c r="C79" s="28"/>
      <c r="D79" s="28"/>
      <c r="E79" s="28"/>
      <c r="F79" s="28"/>
      <c r="G79" s="28"/>
      <c r="H79" s="28"/>
      <c r="I79" s="29" t="s">
        <v>100</v>
      </c>
      <c r="J79" s="29"/>
      <c r="K79" s="29" t="s">
        <v>139</v>
      </c>
      <c r="L79" s="29"/>
      <c r="M79" s="30">
        <f>11000</f>
        <v>11000</v>
      </c>
      <c r="N79" s="30"/>
      <c r="O79" s="30"/>
      <c r="P79" s="32" t="s">
        <v>41</v>
      </c>
      <c r="Q79" s="32"/>
      <c r="R79" s="32"/>
      <c r="S79" s="32"/>
      <c r="T79" s="31">
        <f>11000</f>
        <v>11000</v>
      </c>
      <c r="U79" s="31"/>
    </row>
    <row r="80" spans="1:21" s="1" customFormat="1" ht="13.95" customHeight="1">
      <c r="A80" s="28" t="s">
        <v>121</v>
      </c>
      <c r="B80" s="28"/>
      <c r="C80" s="28"/>
      <c r="D80" s="28"/>
      <c r="E80" s="28"/>
      <c r="F80" s="28"/>
      <c r="G80" s="28"/>
      <c r="H80" s="28"/>
      <c r="I80" s="29" t="s">
        <v>100</v>
      </c>
      <c r="J80" s="29"/>
      <c r="K80" s="29" t="s">
        <v>140</v>
      </c>
      <c r="L80" s="29"/>
      <c r="M80" s="30">
        <f>333200</f>
        <v>333200</v>
      </c>
      <c r="N80" s="30"/>
      <c r="O80" s="30"/>
      <c r="P80" s="30">
        <f>172600</f>
        <v>172600</v>
      </c>
      <c r="Q80" s="30"/>
      <c r="R80" s="30"/>
      <c r="S80" s="30"/>
      <c r="T80" s="31">
        <f>160600</f>
        <v>160600</v>
      </c>
      <c r="U80" s="31"/>
    </row>
    <row r="81" spans="1:21" s="1" customFormat="1" ht="13.95" customHeight="1">
      <c r="A81" s="28" t="s">
        <v>117</v>
      </c>
      <c r="B81" s="28"/>
      <c r="C81" s="28"/>
      <c r="D81" s="28"/>
      <c r="E81" s="28"/>
      <c r="F81" s="28"/>
      <c r="G81" s="28"/>
      <c r="H81" s="28"/>
      <c r="I81" s="29" t="s">
        <v>100</v>
      </c>
      <c r="J81" s="29"/>
      <c r="K81" s="29" t="s">
        <v>141</v>
      </c>
      <c r="L81" s="29"/>
      <c r="M81" s="30">
        <f>12200</f>
        <v>12200</v>
      </c>
      <c r="N81" s="30"/>
      <c r="O81" s="30"/>
      <c r="P81" s="32" t="s">
        <v>41</v>
      </c>
      <c r="Q81" s="32"/>
      <c r="R81" s="32"/>
      <c r="S81" s="32"/>
      <c r="T81" s="31">
        <f>12200</f>
        <v>12200</v>
      </c>
      <c r="U81" s="31"/>
    </row>
    <row r="82" spans="1:21" s="1" customFormat="1" ht="13.95" customHeight="1">
      <c r="A82" s="28" t="s">
        <v>113</v>
      </c>
      <c r="B82" s="28"/>
      <c r="C82" s="28"/>
      <c r="D82" s="28"/>
      <c r="E82" s="28"/>
      <c r="F82" s="28"/>
      <c r="G82" s="28"/>
      <c r="H82" s="28"/>
      <c r="I82" s="29" t="s">
        <v>100</v>
      </c>
      <c r="J82" s="29"/>
      <c r="K82" s="29" t="s">
        <v>142</v>
      </c>
      <c r="L82" s="29"/>
      <c r="M82" s="30">
        <f>100000</f>
        <v>100000</v>
      </c>
      <c r="N82" s="30"/>
      <c r="O82" s="30"/>
      <c r="P82" s="32" t="s">
        <v>41</v>
      </c>
      <c r="Q82" s="32"/>
      <c r="R82" s="32"/>
      <c r="S82" s="32"/>
      <c r="T82" s="31">
        <f>100000</f>
        <v>100000</v>
      </c>
      <c r="U82" s="31"/>
    </row>
    <row r="83" spans="1:21" s="1" customFormat="1" ht="13.95" customHeight="1">
      <c r="A83" s="28" t="s">
        <v>115</v>
      </c>
      <c r="B83" s="28"/>
      <c r="C83" s="28"/>
      <c r="D83" s="28"/>
      <c r="E83" s="28"/>
      <c r="F83" s="28"/>
      <c r="G83" s="28"/>
      <c r="H83" s="28"/>
      <c r="I83" s="29" t="s">
        <v>100</v>
      </c>
      <c r="J83" s="29"/>
      <c r="K83" s="29" t="s">
        <v>143</v>
      </c>
      <c r="L83" s="29"/>
      <c r="M83" s="30">
        <f>440000</f>
        <v>440000</v>
      </c>
      <c r="N83" s="30"/>
      <c r="O83" s="30"/>
      <c r="P83" s="30">
        <f>211159.05</f>
        <v>211159.05</v>
      </c>
      <c r="Q83" s="30"/>
      <c r="R83" s="30"/>
      <c r="S83" s="30"/>
      <c r="T83" s="31">
        <f>228840.95</f>
        <v>228840.95</v>
      </c>
      <c r="U83" s="31"/>
    </row>
    <row r="84" spans="1:21" s="1" customFormat="1" ht="13.95" customHeight="1">
      <c r="A84" s="28" t="s">
        <v>117</v>
      </c>
      <c r="B84" s="28"/>
      <c r="C84" s="28"/>
      <c r="D84" s="28"/>
      <c r="E84" s="28"/>
      <c r="F84" s="28"/>
      <c r="G84" s="28"/>
      <c r="H84" s="28"/>
      <c r="I84" s="29" t="s">
        <v>100</v>
      </c>
      <c r="J84" s="29"/>
      <c r="K84" s="29" t="s">
        <v>144</v>
      </c>
      <c r="L84" s="29"/>
      <c r="M84" s="30">
        <f>3247000</f>
        <v>3247000</v>
      </c>
      <c r="N84" s="30"/>
      <c r="O84" s="30"/>
      <c r="P84" s="32" t="s">
        <v>41</v>
      </c>
      <c r="Q84" s="32"/>
      <c r="R84" s="32"/>
      <c r="S84" s="32"/>
      <c r="T84" s="31">
        <f>3247000</f>
        <v>3247000</v>
      </c>
      <c r="U84" s="31"/>
    </row>
    <row r="85" spans="1:21" s="1" customFormat="1" ht="13.95" customHeight="1">
      <c r="A85" s="28" t="s">
        <v>117</v>
      </c>
      <c r="B85" s="28"/>
      <c r="C85" s="28"/>
      <c r="D85" s="28"/>
      <c r="E85" s="28"/>
      <c r="F85" s="28"/>
      <c r="G85" s="28"/>
      <c r="H85" s="28"/>
      <c r="I85" s="29" t="s">
        <v>100</v>
      </c>
      <c r="J85" s="29"/>
      <c r="K85" s="29" t="s">
        <v>145</v>
      </c>
      <c r="L85" s="29"/>
      <c r="M85" s="30">
        <f>3640000</f>
        <v>3640000</v>
      </c>
      <c r="N85" s="30"/>
      <c r="O85" s="30"/>
      <c r="P85" s="32" t="s">
        <v>41</v>
      </c>
      <c r="Q85" s="32"/>
      <c r="R85" s="32"/>
      <c r="S85" s="32"/>
      <c r="T85" s="31">
        <f>3640000</f>
        <v>3640000</v>
      </c>
      <c r="U85" s="31"/>
    </row>
    <row r="86" spans="1:21" s="1" customFormat="1" ht="13.95" customHeight="1">
      <c r="A86" s="28" t="s">
        <v>115</v>
      </c>
      <c r="B86" s="28"/>
      <c r="C86" s="28"/>
      <c r="D86" s="28"/>
      <c r="E86" s="28"/>
      <c r="F86" s="28"/>
      <c r="G86" s="28"/>
      <c r="H86" s="28"/>
      <c r="I86" s="29" t="s">
        <v>100</v>
      </c>
      <c r="J86" s="29"/>
      <c r="K86" s="29" t="s">
        <v>146</v>
      </c>
      <c r="L86" s="29"/>
      <c r="M86" s="30">
        <f>500000</f>
        <v>500000</v>
      </c>
      <c r="N86" s="30"/>
      <c r="O86" s="30"/>
      <c r="P86" s="32" t="s">
        <v>41</v>
      </c>
      <c r="Q86" s="32"/>
      <c r="R86" s="32"/>
      <c r="S86" s="32"/>
      <c r="T86" s="31">
        <f>500000</f>
        <v>500000</v>
      </c>
      <c r="U86" s="31"/>
    </row>
    <row r="87" spans="1:21" s="1" customFormat="1" ht="13.95" customHeight="1">
      <c r="A87" s="28" t="s">
        <v>117</v>
      </c>
      <c r="B87" s="28"/>
      <c r="C87" s="28"/>
      <c r="D87" s="28"/>
      <c r="E87" s="28"/>
      <c r="F87" s="28"/>
      <c r="G87" s="28"/>
      <c r="H87" s="28"/>
      <c r="I87" s="29" t="s">
        <v>100</v>
      </c>
      <c r="J87" s="29"/>
      <c r="K87" s="29" t="s">
        <v>147</v>
      </c>
      <c r="L87" s="29"/>
      <c r="M87" s="30">
        <f>3500000</f>
        <v>3500000</v>
      </c>
      <c r="N87" s="30"/>
      <c r="O87" s="30"/>
      <c r="P87" s="32" t="s">
        <v>41</v>
      </c>
      <c r="Q87" s="32"/>
      <c r="R87" s="32"/>
      <c r="S87" s="32"/>
      <c r="T87" s="31">
        <f>3500000</f>
        <v>3500000</v>
      </c>
      <c r="U87" s="31"/>
    </row>
    <row r="88" spans="1:21" s="1" customFormat="1" ht="13.95" customHeight="1">
      <c r="A88" s="28" t="s">
        <v>113</v>
      </c>
      <c r="B88" s="28"/>
      <c r="C88" s="28"/>
      <c r="D88" s="28"/>
      <c r="E88" s="28"/>
      <c r="F88" s="28"/>
      <c r="G88" s="28"/>
      <c r="H88" s="28"/>
      <c r="I88" s="29" t="s">
        <v>100</v>
      </c>
      <c r="J88" s="29"/>
      <c r="K88" s="29" t="s">
        <v>148</v>
      </c>
      <c r="L88" s="29"/>
      <c r="M88" s="30">
        <f>290000</f>
        <v>290000</v>
      </c>
      <c r="N88" s="30"/>
      <c r="O88" s="30"/>
      <c r="P88" s="30">
        <f>110998</f>
        <v>110998</v>
      </c>
      <c r="Q88" s="30"/>
      <c r="R88" s="30"/>
      <c r="S88" s="30"/>
      <c r="T88" s="31">
        <f>179002</f>
        <v>179002</v>
      </c>
      <c r="U88" s="31"/>
    </row>
    <row r="89" spans="1:21" s="1" customFormat="1" ht="13.95" customHeight="1">
      <c r="A89" s="28" t="s">
        <v>115</v>
      </c>
      <c r="B89" s="28"/>
      <c r="C89" s="28"/>
      <c r="D89" s="28"/>
      <c r="E89" s="28"/>
      <c r="F89" s="28"/>
      <c r="G89" s="28"/>
      <c r="H89" s="28"/>
      <c r="I89" s="29" t="s">
        <v>100</v>
      </c>
      <c r="J89" s="29"/>
      <c r="K89" s="29" t="s">
        <v>149</v>
      </c>
      <c r="L89" s="29"/>
      <c r="M89" s="30">
        <f>10000</f>
        <v>10000</v>
      </c>
      <c r="N89" s="30"/>
      <c r="O89" s="30"/>
      <c r="P89" s="30">
        <f>9295.66</f>
        <v>9295.66</v>
      </c>
      <c r="Q89" s="30"/>
      <c r="R89" s="30"/>
      <c r="S89" s="30"/>
      <c r="T89" s="31">
        <f>704.34</f>
        <v>704.34</v>
      </c>
      <c r="U89" s="31"/>
    </row>
    <row r="90" spans="1:21" s="1" customFormat="1" ht="13.95" customHeight="1">
      <c r="A90" s="28" t="s">
        <v>111</v>
      </c>
      <c r="B90" s="28"/>
      <c r="C90" s="28"/>
      <c r="D90" s="28"/>
      <c r="E90" s="28"/>
      <c r="F90" s="28"/>
      <c r="G90" s="28"/>
      <c r="H90" s="28"/>
      <c r="I90" s="29" t="s">
        <v>100</v>
      </c>
      <c r="J90" s="29"/>
      <c r="K90" s="29" t="s">
        <v>150</v>
      </c>
      <c r="L90" s="29"/>
      <c r="M90" s="30">
        <f>597200</f>
        <v>597200</v>
      </c>
      <c r="N90" s="30"/>
      <c r="O90" s="30"/>
      <c r="P90" s="30">
        <f>217908.07</f>
        <v>217908.07</v>
      </c>
      <c r="Q90" s="30"/>
      <c r="R90" s="30"/>
      <c r="S90" s="30"/>
      <c r="T90" s="31">
        <f>379291.93</f>
        <v>379291.93</v>
      </c>
      <c r="U90" s="31"/>
    </row>
    <row r="91" spans="1:21" s="1" customFormat="1" ht="13.95" customHeight="1">
      <c r="A91" s="28" t="s">
        <v>113</v>
      </c>
      <c r="B91" s="28"/>
      <c r="C91" s="28"/>
      <c r="D91" s="28"/>
      <c r="E91" s="28"/>
      <c r="F91" s="28"/>
      <c r="G91" s="28"/>
      <c r="H91" s="28"/>
      <c r="I91" s="29" t="s">
        <v>100</v>
      </c>
      <c r="J91" s="29"/>
      <c r="K91" s="29" t="s">
        <v>151</v>
      </c>
      <c r="L91" s="29"/>
      <c r="M91" s="30">
        <f>180000</f>
        <v>180000</v>
      </c>
      <c r="N91" s="30"/>
      <c r="O91" s="30"/>
      <c r="P91" s="32" t="s">
        <v>41</v>
      </c>
      <c r="Q91" s="32"/>
      <c r="R91" s="32"/>
      <c r="S91" s="32"/>
      <c r="T91" s="31">
        <f>180000</f>
        <v>180000</v>
      </c>
      <c r="U91" s="31"/>
    </row>
    <row r="92" spans="1:21" s="1" customFormat="1" ht="13.95" customHeight="1">
      <c r="A92" s="28" t="s">
        <v>117</v>
      </c>
      <c r="B92" s="28"/>
      <c r="C92" s="28"/>
      <c r="D92" s="28"/>
      <c r="E92" s="28"/>
      <c r="F92" s="28"/>
      <c r="G92" s="28"/>
      <c r="H92" s="28"/>
      <c r="I92" s="29" t="s">
        <v>100</v>
      </c>
      <c r="J92" s="29"/>
      <c r="K92" s="29" t="s">
        <v>152</v>
      </c>
      <c r="L92" s="29"/>
      <c r="M92" s="30">
        <f>0</f>
        <v>0</v>
      </c>
      <c r="N92" s="30"/>
      <c r="O92" s="30"/>
      <c r="P92" s="32" t="s">
        <v>41</v>
      </c>
      <c r="Q92" s="32"/>
      <c r="R92" s="32"/>
      <c r="S92" s="32"/>
      <c r="T92" s="31">
        <f>0</f>
        <v>0</v>
      </c>
      <c r="U92" s="31"/>
    </row>
    <row r="93" spans="1:21" s="1" customFormat="1" ht="13.95" customHeight="1">
      <c r="A93" s="28" t="s">
        <v>117</v>
      </c>
      <c r="B93" s="28"/>
      <c r="C93" s="28"/>
      <c r="D93" s="28"/>
      <c r="E93" s="28"/>
      <c r="F93" s="28"/>
      <c r="G93" s="28"/>
      <c r="H93" s="28"/>
      <c r="I93" s="29" t="s">
        <v>100</v>
      </c>
      <c r="J93" s="29"/>
      <c r="K93" s="29" t="s">
        <v>153</v>
      </c>
      <c r="L93" s="29"/>
      <c r="M93" s="30">
        <f>200000</f>
        <v>200000</v>
      </c>
      <c r="N93" s="30"/>
      <c r="O93" s="30"/>
      <c r="P93" s="30">
        <f>199038</f>
        <v>199038</v>
      </c>
      <c r="Q93" s="30"/>
      <c r="R93" s="30"/>
      <c r="S93" s="30"/>
      <c r="T93" s="31">
        <f>962</f>
        <v>962</v>
      </c>
      <c r="U93" s="31"/>
    </row>
    <row r="94" spans="1:21" s="1" customFormat="1" ht="13.95" customHeight="1">
      <c r="A94" s="28" t="s">
        <v>101</v>
      </c>
      <c r="B94" s="28"/>
      <c r="C94" s="28"/>
      <c r="D94" s="28"/>
      <c r="E94" s="28"/>
      <c r="F94" s="28"/>
      <c r="G94" s="28"/>
      <c r="H94" s="28"/>
      <c r="I94" s="29" t="s">
        <v>100</v>
      </c>
      <c r="J94" s="29"/>
      <c r="K94" s="29" t="s">
        <v>154</v>
      </c>
      <c r="L94" s="29"/>
      <c r="M94" s="30">
        <f>833474</f>
        <v>833474</v>
      </c>
      <c r="N94" s="30"/>
      <c r="O94" s="30"/>
      <c r="P94" s="30">
        <f>473473.27</f>
        <v>473473.27</v>
      </c>
      <c r="Q94" s="30"/>
      <c r="R94" s="30"/>
      <c r="S94" s="30"/>
      <c r="T94" s="31">
        <f>360000.73</f>
        <v>360000.73</v>
      </c>
      <c r="U94" s="31"/>
    </row>
    <row r="95" spans="1:21" s="1" customFormat="1" ht="13.95" customHeight="1">
      <c r="A95" s="28" t="s">
        <v>103</v>
      </c>
      <c r="B95" s="28"/>
      <c r="C95" s="28"/>
      <c r="D95" s="28"/>
      <c r="E95" s="28"/>
      <c r="F95" s="28"/>
      <c r="G95" s="28"/>
      <c r="H95" s="28"/>
      <c r="I95" s="29" t="s">
        <v>100</v>
      </c>
      <c r="J95" s="29"/>
      <c r="K95" s="29" t="s">
        <v>155</v>
      </c>
      <c r="L95" s="29"/>
      <c r="M95" s="30">
        <f>251709</f>
        <v>251709</v>
      </c>
      <c r="N95" s="30"/>
      <c r="O95" s="30"/>
      <c r="P95" s="30">
        <f>133841.38</f>
        <v>133841.38</v>
      </c>
      <c r="Q95" s="30"/>
      <c r="R95" s="30"/>
      <c r="S95" s="30"/>
      <c r="T95" s="31">
        <f>117867.62</f>
        <v>117867.62</v>
      </c>
      <c r="U95" s="31"/>
    </row>
    <row r="96" spans="1:21" s="1" customFormat="1" ht="13.95" customHeight="1">
      <c r="A96" s="28" t="s">
        <v>111</v>
      </c>
      <c r="B96" s="28"/>
      <c r="C96" s="28"/>
      <c r="D96" s="28"/>
      <c r="E96" s="28"/>
      <c r="F96" s="28"/>
      <c r="G96" s="28"/>
      <c r="H96" s="28"/>
      <c r="I96" s="29" t="s">
        <v>100</v>
      </c>
      <c r="J96" s="29"/>
      <c r="K96" s="29" t="s">
        <v>156</v>
      </c>
      <c r="L96" s="29"/>
      <c r="M96" s="30">
        <f>585000</f>
        <v>585000</v>
      </c>
      <c r="N96" s="30"/>
      <c r="O96" s="30"/>
      <c r="P96" s="30">
        <f>580943.76</f>
        <v>580943.76</v>
      </c>
      <c r="Q96" s="30"/>
      <c r="R96" s="30"/>
      <c r="S96" s="30"/>
      <c r="T96" s="31">
        <f>4056.24</f>
        <v>4056.24</v>
      </c>
      <c r="U96" s="31"/>
    </row>
    <row r="97" spans="1:21" s="1" customFormat="1" ht="13.95" customHeight="1">
      <c r="A97" s="28" t="s">
        <v>115</v>
      </c>
      <c r="B97" s="28"/>
      <c r="C97" s="28"/>
      <c r="D97" s="28"/>
      <c r="E97" s="28"/>
      <c r="F97" s="28"/>
      <c r="G97" s="28"/>
      <c r="H97" s="28"/>
      <c r="I97" s="29" t="s">
        <v>100</v>
      </c>
      <c r="J97" s="29"/>
      <c r="K97" s="29" t="s">
        <v>157</v>
      </c>
      <c r="L97" s="29"/>
      <c r="M97" s="30">
        <f>2000</f>
        <v>2000</v>
      </c>
      <c r="N97" s="30"/>
      <c r="O97" s="30"/>
      <c r="P97" s="30">
        <f>871.96</f>
        <v>871.96</v>
      </c>
      <c r="Q97" s="30"/>
      <c r="R97" s="30"/>
      <c r="S97" s="30"/>
      <c r="T97" s="31">
        <f>1128.04</f>
        <v>1128.04</v>
      </c>
      <c r="U97" s="31"/>
    </row>
    <row r="98" spans="1:21" s="1" customFormat="1" ht="13.95" customHeight="1">
      <c r="A98" s="28" t="s">
        <v>119</v>
      </c>
      <c r="B98" s="28"/>
      <c r="C98" s="28"/>
      <c r="D98" s="28"/>
      <c r="E98" s="28"/>
      <c r="F98" s="28"/>
      <c r="G98" s="28"/>
      <c r="H98" s="28"/>
      <c r="I98" s="29" t="s">
        <v>100</v>
      </c>
      <c r="J98" s="29"/>
      <c r="K98" s="29" t="s">
        <v>158</v>
      </c>
      <c r="L98" s="29"/>
      <c r="M98" s="30">
        <f>328000</f>
        <v>328000</v>
      </c>
      <c r="N98" s="30"/>
      <c r="O98" s="30"/>
      <c r="P98" s="30">
        <f>239073.4</f>
        <v>239073.4</v>
      </c>
      <c r="Q98" s="30"/>
      <c r="R98" s="30"/>
      <c r="S98" s="30"/>
      <c r="T98" s="31">
        <f>88926.6</f>
        <v>88926.6</v>
      </c>
      <c r="U98" s="31"/>
    </row>
    <row r="99" spans="1:21" s="1" customFormat="1" ht="13.95" customHeight="1">
      <c r="A99" s="28" t="s">
        <v>123</v>
      </c>
      <c r="B99" s="28"/>
      <c r="C99" s="28"/>
      <c r="D99" s="28"/>
      <c r="E99" s="28"/>
      <c r="F99" s="28"/>
      <c r="G99" s="28"/>
      <c r="H99" s="28"/>
      <c r="I99" s="29" t="s">
        <v>100</v>
      </c>
      <c r="J99" s="29"/>
      <c r="K99" s="29" t="s">
        <v>159</v>
      </c>
      <c r="L99" s="29"/>
      <c r="M99" s="30">
        <f>25000</f>
        <v>25000</v>
      </c>
      <c r="N99" s="30"/>
      <c r="O99" s="30"/>
      <c r="P99" s="30">
        <f>21428.75</f>
        <v>21428.75</v>
      </c>
      <c r="Q99" s="30"/>
      <c r="R99" s="30"/>
      <c r="S99" s="30"/>
      <c r="T99" s="31">
        <f>3571.25</f>
        <v>3571.25</v>
      </c>
      <c r="U99" s="31"/>
    </row>
    <row r="100" spans="1:21" s="1" customFormat="1" ht="13.95" customHeight="1">
      <c r="A100" s="28" t="s">
        <v>115</v>
      </c>
      <c r="B100" s="28"/>
      <c r="C100" s="28"/>
      <c r="D100" s="28"/>
      <c r="E100" s="28"/>
      <c r="F100" s="28"/>
      <c r="G100" s="28"/>
      <c r="H100" s="28"/>
      <c r="I100" s="29" t="s">
        <v>100</v>
      </c>
      <c r="J100" s="29"/>
      <c r="K100" s="29" t="s">
        <v>160</v>
      </c>
      <c r="L100" s="29"/>
      <c r="M100" s="30">
        <f>56200</f>
        <v>56200</v>
      </c>
      <c r="N100" s="30"/>
      <c r="O100" s="30"/>
      <c r="P100" s="30">
        <f>56169.86</f>
        <v>56169.86</v>
      </c>
      <c r="Q100" s="30"/>
      <c r="R100" s="30"/>
      <c r="S100" s="30"/>
      <c r="T100" s="31">
        <f>30.14</f>
        <v>30.14</v>
      </c>
      <c r="U100" s="31"/>
    </row>
    <row r="101" spans="1:21" s="1" customFormat="1" ht="13.95" customHeight="1">
      <c r="A101" s="28" t="s">
        <v>123</v>
      </c>
      <c r="B101" s="28"/>
      <c r="C101" s="28"/>
      <c r="D101" s="28"/>
      <c r="E101" s="28"/>
      <c r="F101" s="28"/>
      <c r="G101" s="28"/>
      <c r="H101" s="28"/>
      <c r="I101" s="29" t="s">
        <v>100</v>
      </c>
      <c r="J101" s="29"/>
      <c r="K101" s="29" t="s">
        <v>161</v>
      </c>
      <c r="L101" s="29"/>
      <c r="M101" s="30">
        <f>17600</f>
        <v>17600</v>
      </c>
      <c r="N101" s="30"/>
      <c r="O101" s="30"/>
      <c r="P101" s="30">
        <f>17600</f>
        <v>17600</v>
      </c>
      <c r="Q101" s="30"/>
      <c r="R101" s="30"/>
      <c r="S101" s="30"/>
      <c r="T101" s="31">
        <f>0</f>
        <v>0</v>
      </c>
      <c r="U101" s="31"/>
    </row>
    <row r="102" spans="1:21" s="1" customFormat="1" ht="13.95" customHeight="1">
      <c r="A102" s="28" t="s">
        <v>107</v>
      </c>
      <c r="B102" s="28"/>
      <c r="C102" s="28"/>
      <c r="D102" s="28"/>
      <c r="E102" s="28"/>
      <c r="F102" s="28"/>
      <c r="G102" s="28"/>
      <c r="H102" s="28"/>
      <c r="I102" s="29" t="s">
        <v>100</v>
      </c>
      <c r="J102" s="29"/>
      <c r="K102" s="29" t="s">
        <v>162</v>
      </c>
      <c r="L102" s="29"/>
      <c r="M102" s="30">
        <f>21200</f>
        <v>21200</v>
      </c>
      <c r="N102" s="30"/>
      <c r="O102" s="30"/>
      <c r="P102" s="30">
        <f>9300.99</f>
        <v>9300.99</v>
      </c>
      <c r="Q102" s="30"/>
      <c r="R102" s="30"/>
      <c r="S102" s="30"/>
      <c r="T102" s="31">
        <f>11899.01</f>
        <v>11899.01</v>
      </c>
      <c r="U102" s="31"/>
    </row>
    <row r="103" spans="1:21" s="1" customFormat="1" ht="13.95" customHeight="1">
      <c r="A103" s="28" t="s">
        <v>101</v>
      </c>
      <c r="B103" s="28"/>
      <c r="C103" s="28"/>
      <c r="D103" s="28"/>
      <c r="E103" s="28"/>
      <c r="F103" s="28"/>
      <c r="G103" s="28"/>
      <c r="H103" s="28"/>
      <c r="I103" s="29" t="s">
        <v>100</v>
      </c>
      <c r="J103" s="29"/>
      <c r="K103" s="29" t="s">
        <v>163</v>
      </c>
      <c r="L103" s="29"/>
      <c r="M103" s="30">
        <f>1460493</f>
        <v>1460493</v>
      </c>
      <c r="N103" s="30"/>
      <c r="O103" s="30"/>
      <c r="P103" s="30">
        <f>965139.14</f>
        <v>965139.14</v>
      </c>
      <c r="Q103" s="30"/>
      <c r="R103" s="30"/>
      <c r="S103" s="30"/>
      <c r="T103" s="31">
        <f>495353.86</f>
        <v>495353.86</v>
      </c>
      <c r="U103" s="31"/>
    </row>
    <row r="104" spans="1:21" s="1" customFormat="1" ht="13.95" customHeight="1">
      <c r="A104" s="28" t="s">
        <v>164</v>
      </c>
      <c r="B104" s="28"/>
      <c r="C104" s="28"/>
      <c r="D104" s="28"/>
      <c r="E104" s="28"/>
      <c r="F104" s="28"/>
      <c r="G104" s="28"/>
      <c r="H104" s="28"/>
      <c r="I104" s="29" t="s">
        <v>100</v>
      </c>
      <c r="J104" s="29"/>
      <c r="K104" s="29" t="s">
        <v>165</v>
      </c>
      <c r="L104" s="29"/>
      <c r="M104" s="30">
        <f>48758</f>
        <v>48758</v>
      </c>
      <c r="N104" s="30"/>
      <c r="O104" s="30"/>
      <c r="P104" s="32" t="s">
        <v>41</v>
      </c>
      <c r="Q104" s="32"/>
      <c r="R104" s="32"/>
      <c r="S104" s="32"/>
      <c r="T104" s="31">
        <f>48758</f>
        <v>48758</v>
      </c>
      <c r="U104" s="31"/>
    </row>
    <row r="105" spans="1:21" s="1" customFormat="1" ht="13.95" customHeight="1">
      <c r="A105" s="28" t="s">
        <v>103</v>
      </c>
      <c r="B105" s="28"/>
      <c r="C105" s="28"/>
      <c r="D105" s="28"/>
      <c r="E105" s="28"/>
      <c r="F105" s="28"/>
      <c r="G105" s="28"/>
      <c r="H105" s="28"/>
      <c r="I105" s="29" t="s">
        <v>100</v>
      </c>
      <c r="J105" s="29"/>
      <c r="K105" s="29" t="s">
        <v>166</v>
      </c>
      <c r="L105" s="29"/>
      <c r="M105" s="30">
        <f>441089</f>
        <v>441089</v>
      </c>
      <c r="N105" s="30"/>
      <c r="O105" s="30"/>
      <c r="P105" s="30">
        <f>276246.88</f>
        <v>276246.88</v>
      </c>
      <c r="Q105" s="30"/>
      <c r="R105" s="30"/>
      <c r="S105" s="30"/>
      <c r="T105" s="31">
        <f>164842.12</f>
        <v>164842.12</v>
      </c>
      <c r="U105" s="31"/>
    </row>
    <row r="106" spans="1:21" s="1" customFormat="1" ht="13.95" customHeight="1">
      <c r="A106" s="28" t="s">
        <v>107</v>
      </c>
      <c r="B106" s="28"/>
      <c r="C106" s="28"/>
      <c r="D106" s="28"/>
      <c r="E106" s="28"/>
      <c r="F106" s="28"/>
      <c r="G106" s="28"/>
      <c r="H106" s="28"/>
      <c r="I106" s="29" t="s">
        <v>100</v>
      </c>
      <c r="J106" s="29"/>
      <c r="K106" s="29" t="s">
        <v>167</v>
      </c>
      <c r="L106" s="29"/>
      <c r="M106" s="30">
        <f>6000</f>
        <v>6000</v>
      </c>
      <c r="N106" s="30"/>
      <c r="O106" s="30"/>
      <c r="P106" s="30">
        <f>4181.42</f>
        <v>4181.42</v>
      </c>
      <c r="Q106" s="30"/>
      <c r="R106" s="30"/>
      <c r="S106" s="30"/>
      <c r="T106" s="31">
        <f>1818.58</f>
        <v>1818.58</v>
      </c>
      <c r="U106" s="31"/>
    </row>
    <row r="107" spans="1:21" s="1" customFormat="1" ht="13.95" customHeight="1">
      <c r="A107" s="28" t="s">
        <v>111</v>
      </c>
      <c r="B107" s="28"/>
      <c r="C107" s="28"/>
      <c r="D107" s="28"/>
      <c r="E107" s="28"/>
      <c r="F107" s="28"/>
      <c r="G107" s="28"/>
      <c r="H107" s="28"/>
      <c r="I107" s="29" t="s">
        <v>100</v>
      </c>
      <c r="J107" s="29"/>
      <c r="K107" s="29" t="s">
        <v>168</v>
      </c>
      <c r="L107" s="29"/>
      <c r="M107" s="30">
        <f>300000</f>
        <v>300000</v>
      </c>
      <c r="N107" s="30"/>
      <c r="O107" s="30"/>
      <c r="P107" s="30">
        <f>143097.44</f>
        <v>143097.44</v>
      </c>
      <c r="Q107" s="30"/>
      <c r="R107" s="30"/>
      <c r="S107" s="30"/>
      <c r="T107" s="31">
        <f>156902.56</f>
        <v>156902.56</v>
      </c>
      <c r="U107" s="31"/>
    </row>
    <row r="108" spans="1:21" s="1" customFormat="1" ht="13.95" customHeight="1">
      <c r="A108" s="28" t="s">
        <v>115</v>
      </c>
      <c r="B108" s="28"/>
      <c r="C108" s="28"/>
      <c r="D108" s="28"/>
      <c r="E108" s="28"/>
      <c r="F108" s="28"/>
      <c r="G108" s="28"/>
      <c r="H108" s="28"/>
      <c r="I108" s="29" t="s">
        <v>100</v>
      </c>
      <c r="J108" s="29"/>
      <c r="K108" s="29" t="s">
        <v>169</v>
      </c>
      <c r="L108" s="29"/>
      <c r="M108" s="30">
        <f>94000</f>
        <v>94000</v>
      </c>
      <c r="N108" s="30"/>
      <c r="O108" s="30"/>
      <c r="P108" s="30">
        <f>6192.03</f>
        <v>6192.03</v>
      </c>
      <c r="Q108" s="30"/>
      <c r="R108" s="30"/>
      <c r="S108" s="30"/>
      <c r="T108" s="31">
        <f>87807.97</f>
        <v>87807.97</v>
      </c>
      <c r="U108" s="31"/>
    </row>
    <row r="109" spans="1:21" s="1" customFormat="1" ht="13.95" customHeight="1">
      <c r="A109" s="28" t="s">
        <v>117</v>
      </c>
      <c r="B109" s="28"/>
      <c r="C109" s="28"/>
      <c r="D109" s="28"/>
      <c r="E109" s="28"/>
      <c r="F109" s="28"/>
      <c r="G109" s="28"/>
      <c r="H109" s="28"/>
      <c r="I109" s="29" t="s">
        <v>100</v>
      </c>
      <c r="J109" s="29"/>
      <c r="K109" s="29" t="s">
        <v>170</v>
      </c>
      <c r="L109" s="29"/>
      <c r="M109" s="30">
        <f>12000</f>
        <v>12000</v>
      </c>
      <c r="N109" s="30"/>
      <c r="O109" s="30"/>
      <c r="P109" s="30">
        <f>11152</f>
        <v>11152</v>
      </c>
      <c r="Q109" s="30"/>
      <c r="R109" s="30"/>
      <c r="S109" s="30"/>
      <c r="T109" s="31">
        <f>848</f>
        <v>848</v>
      </c>
      <c r="U109" s="31"/>
    </row>
    <row r="110" spans="1:21" s="1" customFormat="1" ht="13.95" customHeight="1">
      <c r="A110" s="28" t="s">
        <v>119</v>
      </c>
      <c r="B110" s="28"/>
      <c r="C110" s="28"/>
      <c r="D110" s="28"/>
      <c r="E110" s="28"/>
      <c r="F110" s="28"/>
      <c r="G110" s="28"/>
      <c r="H110" s="28"/>
      <c r="I110" s="29" t="s">
        <v>100</v>
      </c>
      <c r="J110" s="29"/>
      <c r="K110" s="29" t="s">
        <v>171</v>
      </c>
      <c r="L110" s="29"/>
      <c r="M110" s="30">
        <f>7000</f>
        <v>7000</v>
      </c>
      <c r="N110" s="30"/>
      <c r="O110" s="30"/>
      <c r="P110" s="32" t="s">
        <v>41</v>
      </c>
      <c r="Q110" s="32"/>
      <c r="R110" s="32"/>
      <c r="S110" s="32"/>
      <c r="T110" s="31">
        <f>7000</f>
        <v>7000</v>
      </c>
      <c r="U110" s="31"/>
    </row>
    <row r="111" spans="1:21" s="1" customFormat="1" ht="13.95" customHeight="1">
      <c r="A111" s="28" t="s">
        <v>123</v>
      </c>
      <c r="B111" s="28"/>
      <c r="C111" s="28"/>
      <c r="D111" s="28"/>
      <c r="E111" s="28"/>
      <c r="F111" s="28"/>
      <c r="G111" s="28"/>
      <c r="H111" s="28"/>
      <c r="I111" s="29" t="s">
        <v>100</v>
      </c>
      <c r="J111" s="29"/>
      <c r="K111" s="29" t="s">
        <v>172</v>
      </c>
      <c r="L111" s="29"/>
      <c r="M111" s="30">
        <f>30000</f>
        <v>30000</v>
      </c>
      <c r="N111" s="30"/>
      <c r="O111" s="30"/>
      <c r="P111" s="30">
        <f>17648.74</f>
        <v>17648.740000000002</v>
      </c>
      <c r="Q111" s="30"/>
      <c r="R111" s="30"/>
      <c r="S111" s="30"/>
      <c r="T111" s="31">
        <f>12351.26</f>
        <v>12351.26</v>
      </c>
      <c r="U111" s="31"/>
    </row>
    <row r="112" spans="1:21" s="1" customFormat="1" ht="13.95" customHeight="1">
      <c r="A112" s="28" t="s">
        <v>101</v>
      </c>
      <c r="B112" s="28"/>
      <c r="C112" s="28"/>
      <c r="D112" s="28"/>
      <c r="E112" s="28"/>
      <c r="F112" s="28"/>
      <c r="G112" s="28"/>
      <c r="H112" s="28"/>
      <c r="I112" s="29" t="s">
        <v>100</v>
      </c>
      <c r="J112" s="29"/>
      <c r="K112" s="29" t="s">
        <v>173</v>
      </c>
      <c r="L112" s="29"/>
      <c r="M112" s="30">
        <f>217440</f>
        <v>217440</v>
      </c>
      <c r="N112" s="30"/>
      <c r="O112" s="30"/>
      <c r="P112" s="30">
        <f>156038.11</f>
        <v>156038.10999999999</v>
      </c>
      <c r="Q112" s="30"/>
      <c r="R112" s="30"/>
      <c r="S112" s="30"/>
      <c r="T112" s="31">
        <f>61401.89</f>
        <v>61401.89</v>
      </c>
      <c r="U112" s="31"/>
    </row>
    <row r="113" spans="1:21" s="1" customFormat="1" ht="13.95" customHeight="1">
      <c r="A113" s="28" t="s">
        <v>164</v>
      </c>
      <c r="B113" s="28"/>
      <c r="C113" s="28"/>
      <c r="D113" s="28"/>
      <c r="E113" s="28"/>
      <c r="F113" s="28"/>
      <c r="G113" s="28"/>
      <c r="H113" s="28"/>
      <c r="I113" s="29" t="s">
        <v>100</v>
      </c>
      <c r="J113" s="29"/>
      <c r="K113" s="29" t="s">
        <v>174</v>
      </c>
      <c r="L113" s="29"/>
      <c r="M113" s="30">
        <f>5000</f>
        <v>5000</v>
      </c>
      <c r="N113" s="30"/>
      <c r="O113" s="30"/>
      <c r="P113" s="32" t="s">
        <v>41</v>
      </c>
      <c r="Q113" s="32"/>
      <c r="R113" s="32"/>
      <c r="S113" s="32"/>
      <c r="T113" s="31">
        <f>5000</f>
        <v>5000</v>
      </c>
      <c r="U113" s="31"/>
    </row>
    <row r="114" spans="1:21" s="1" customFormat="1" ht="13.95" customHeight="1">
      <c r="A114" s="28" t="s">
        <v>103</v>
      </c>
      <c r="B114" s="28"/>
      <c r="C114" s="28"/>
      <c r="D114" s="28"/>
      <c r="E114" s="28"/>
      <c r="F114" s="28"/>
      <c r="G114" s="28"/>
      <c r="H114" s="28"/>
      <c r="I114" s="29" t="s">
        <v>100</v>
      </c>
      <c r="J114" s="29"/>
      <c r="K114" s="29" t="s">
        <v>175</v>
      </c>
      <c r="L114" s="29"/>
      <c r="M114" s="30">
        <f>65667</f>
        <v>65667</v>
      </c>
      <c r="N114" s="30"/>
      <c r="O114" s="30"/>
      <c r="P114" s="30">
        <f>43484.45</f>
        <v>43484.45</v>
      </c>
      <c r="Q114" s="30"/>
      <c r="R114" s="30"/>
      <c r="S114" s="30"/>
      <c r="T114" s="31">
        <f>22182.55</f>
        <v>22182.55</v>
      </c>
      <c r="U114" s="31"/>
    </row>
    <row r="115" spans="1:21" s="1" customFormat="1" ht="13.95" customHeight="1">
      <c r="A115" s="28" t="s">
        <v>113</v>
      </c>
      <c r="B115" s="28"/>
      <c r="C115" s="28"/>
      <c r="D115" s="28"/>
      <c r="E115" s="28"/>
      <c r="F115" s="28"/>
      <c r="G115" s="28"/>
      <c r="H115" s="28"/>
      <c r="I115" s="29" t="s">
        <v>100</v>
      </c>
      <c r="J115" s="29"/>
      <c r="K115" s="29" t="s">
        <v>176</v>
      </c>
      <c r="L115" s="29"/>
      <c r="M115" s="30">
        <f>1000</f>
        <v>1000</v>
      </c>
      <c r="N115" s="30"/>
      <c r="O115" s="30"/>
      <c r="P115" s="32" t="s">
        <v>41</v>
      </c>
      <c r="Q115" s="32"/>
      <c r="R115" s="32"/>
      <c r="S115" s="32"/>
      <c r="T115" s="31">
        <f>1000</f>
        <v>1000</v>
      </c>
      <c r="U115" s="31"/>
    </row>
    <row r="116" spans="1:21" s="1" customFormat="1" ht="13.95" customHeight="1">
      <c r="A116" s="28" t="s">
        <v>115</v>
      </c>
      <c r="B116" s="28"/>
      <c r="C116" s="28"/>
      <c r="D116" s="28"/>
      <c r="E116" s="28"/>
      <c r="F116" s="28"/>
      <c r="G116" s="28"/>
      <c r="H116" s="28"/>
      <c r="I116" s="29" t="s">
        <v>100</v>
      </c>
      <c r="J116" s="29"/>
      <c r="K116" s="29" t="s">
        <v>177</v>
      </c>
      <c r="L116" s="29"/>
      <c r="M116" s="30">
        <f>22000</f>
        <v>22000</v>
      </c>
      <c r="N116" s="30"/>
      <c r="O116" s="30"/>
      <c r="P116" s="30">
        <f>4737.63</f>
        <v>4737.63</v>
      </c>
      <c r="Q116" s="30"/>
      <c r="R116" s="30"/>
      <c r="S116" s="30"/>
      <c r="T116" s="31">
        <f>17262.37</f>
        <v>17262.37</v>
      </c>
      <c r="U116" s="31"/>
    </row>
    <row r="117" spans="1:21" s="1" customFormat="1" ht="13.95" customHeight="1">
      <c r="A117" s="28" t="s">
        <v>123</v>
      </c>
      <c r="B117" s="28"/>
      <c r="C117" s="28"/>
      <c r="D117" s="28"/>
      <c r="E117" s="28"/>
      <c r="F117" s="28"/>
      <c r="G117" s="28"/>
      <c r="H117" s="28"/>
      <c r="I117" s="29" t="s">
        <v>100</v>
      </c>
      <c r="J117" s="29"/>
      <c r="K117" s="29" t="s">
        <v>178</v>
      </c>
      <c r="L117" s="29"/>
      <c r="M117" s="30">
        <f>5000</f>
        <v>5000</v>
      </c>
      <c r="N117" s="30"/>
      <c r="O117" s="30"/>
      <c r="P117" s="30">
        <f>108.32</f>
        <v>108.32</v>
      </c>
      <c r="Q117" s="30"/>
      <c r="R117" s="30"/>
      <c r="S117" s="30"/>
      <c r="T117" s="31">
        <f>4891.68</f>
        <v>4891.68</v>
      </c>
      <c r="U117" s="31"/>
    </row>
    <row r="118" spans="1:21" s="1" customFormat="1" ht="13.95" customHeight="1">
      <c r="A118" s="28" t="s">
        <v>115</v>
      </c>
      <c r="B118" s="28"/>
      <c r="C118" s="28"/>
      <c r="D118" s="28"/>
      <c r="E118" s="28"/>
      <c r="F118" s="28"/>
      <c r="G118" s="28"/>
      <c r="H118" s="28"/>
      <c r="I118" s="29" t="s">
        <v>100</v>
      </c>
      <c r="J118" s="29"/>
      <c r="K118" s="29" t="s">
        <v>179</v>
      </c>
      <c r="L118" s="29"/>
      <c r="M118" s="30">
        <f>0</f>
        <v>0</v>
      </c>
      <c r="N118" s="30"/>
      <c r="O118" s="30"/>
      <c r="P118" s="32" t="s">
        <v>41</v>
      </c>
      <c r="Q118" s="32"/>
      <c r="R118" s="32"/>
      <c r="S118" s="32"/>
      <c r="T118" s="31">
        <f>0</f>
        <v>0</v>
      </c>
      <c r="U118" s="31"/>
    </row>
    <row r="119" spans="1:21" s="1" customFormat="1" ht="13.95" customHeight="1">
      <c r="A119" s="28" t="s">
        <v>101</v>
      </c>
      <c r="B119" s="28"/>
      <c r="C119" s="28"/>
      <c r="D119" s="28"/>
      <c r="E119" s="28"/>
      <c r="F119" s="28"/>
      <c r="G119" s="28"/>
      <c r="H119" s="28"/>
      <c r="I119" s="29" t="s">
        <v>100</v>
      </c>
      <c r="J119" s="29"/>
      <c r="K119" s="29" t="s">
        <v>180</v>
      </c>
      <c r="L119" s="29"/>
      <c r="M119" s="30">
        <f>401527</f>
        <v>401527</v>
      </c>
      <c r="N119" s="30"/>
      <c r="O119" s="30"/>
      <c r="P119" s="30">
        <f>268227</f>
        <v>268227</v>
      </c>
      <c r="Q119" s="30"/>
      <c r="R119" s="30"/>
      <c r="S119" s="30"/>
      <c r="T119" s="31">
        <f>133300</f>
        <v>133300</v>
      </c>
      <c r="U119" s="31"/>
    </row>
    <row r="120" spans="1:21" s="1" customFormat="1" ht="13.95" customHeight="1">
      <c r="A120" s="28" t="s">
        <v>103</v>
      </c>
      <c r="B120" s="28"/>
      <c r="C120" s="28"/>
      <c r="D120" s="28"/>
      <c r="E120" s="28"/>
      <c r="F120" s="28"/>
      <c r="G120" s="28"/>
      <c r="H120" s="28"/>
      <c r="I120" s="29" t="s">
        <v>100</v>
      </c>
      <c r="J120" s="29"/>
      <c r="K120" s="29" t="s">
        <v>181</v>
      </c>
      <c r="L120" s="29"/>
      <c r="M120" s="30">
        <f>120850</f>
        <v>120850</v>
      </c>
      <c r="N120" s="30"/>
      <c r="O120" s="30"/>
      <c r="P120" s="30">
        <f>80905.8</f>
        <v>80905.8</v>
      </c>
      <c r="Q120" s="30"/>
      <c r="R120" s="30"/>
      <c r="S120" s="30"/>
      <c r="T120" s="31">
        <f>39944.2</f>
        <v>39944.199999999997</v>
      </c>
      <c r="U120" s="31"/>
    </row>
    <row r="121" spans="1:21" s="1" customFormat="1" ht="13.95" customHeight="1">
      <c r="A121" s="28" t="s">
        <v>101</v>
      </c>
      <c r="B121" s="28"/>
      <c r="C121" s="28"/>
      <c r="D121" s="28"/>
      <c r="E121" s="28"/>
      <c r="F121" s="28"/>
      <c r="G121" s="28"/>
      <c r="H121" s="28"/>
      <c r="I121" s="29" t="s">
        <v>100</v>
      </c>
      <c r="J121" s="29"/>
      <c r="K121" s="29" t="s">
        <v>182</v>
      </c>
      <c r="L121" s="29"/>
      <c r="M121" s="30">
        <f>84654</f>
        <v>84654</v>
      </c>
      <c r="N121" s="30"/>
      <c r="O121" s="30"/>
      <c r="P121" s="30">
        <f>55774.5</f>
        <v>55774.5</v>
      </c>
      <c r="Q121" s="30"/>
      <c r="R121" s="30"/>
      <c r="S121" s="30"/>
      <c r="T121" s="31">
        <f>28879.5</f>
        <v>28879.5</v>
      </c>
      <c r="U121" s="31"/>
    </row>
    <row r="122" spans="1:21" s="1" customFormat="1" ht="13.95" customHeight="1">
      <c r="A122" s="28" t="s">
        <v>103</v>
      </c>
      <c r="B122" s="28"/>
      <c r="C122" s="28"/>
      <c r="D122" s="28"/>
      <c r="E122" s="28"/>
      <c r="F122" s="28"/>
      <c r="G122" s="28"/>
      <c r="H122" s="28"/>
      <c r="I122" s="29" t="s">
        <v>100</v>
      </c>
      <c r="J122" s="29"/>
      <c r="K122" s="29" t="s">
        <v>183</v>
      </c>
      <c r="L122" s="29"/>
      <c r="M122" s="30">
        <f>25546</f>
        <v>25546</v>
      </c>
      <c r="N122" s="30"/>
      <c r="O122" s="30"/>
      <c r="P122" s="30">
        <f>15954.75</f>
        <v>15954.75</v>
      </c>
      <c r="Q122" s="30"/>
      <c r="R122" s="30"/>
      <c r="S122" s="30"/>
      <c r="T122" s="31">
        <f>9591.25</f>
        <v>9591.25</v>
      </c>
      <c r="U122" s="31"/>
    </row>
    <row r="123" spans="1:21" s="1" customFormat="1" ht="13.95" customHeight="1">
      <c r="A123" s="28" t="s">
        <v>123</v>
      </c>
      <c r="B123" s="28"/>
      <c r="C123" s="28"/>
      <c r="D123" s="28"/>
      <c r="E123" s="28"/>
      <c r="F123" s="28"/>
      <c r="G123" s="28"/>
      <c r="H123" s="28"/>
      <c r="I123" s="29" t="s">
        <v>100</v>
      </c>
      <c r="J123" s="29"/>
      <c r="K123" s="29" t="s">
        <v>184</v>
      </c>
      <c r="L123" s="29"/>
      <c r="M123" s="30">
        <f>30000</f>
        <v>30000</v>
      </c>
      <c r="N123" s="30"/>
      <c r="O123" s="30"/>
      <c r="P123" s="30">
        <f>21500</f>
        <v>21500</v>
      </c>
      <c r="Q123" s="30"/>
      <c r="R123" s="30"/>
      <c r="S123" s="30"/>
      <c r="T123" s="31">
        <f>8500</f>
        <v>8500</v>
      </c>
      <c r="U123" s="31"/>
    </row>
    <row r="124" spans="1:21" s="1" customFormat="1" ht="13.95" customHeight="1">
      <c r="A124" s="28" t="s">
        <v>119</v>
      </c>
      <c r="B124" s="28"/>
      <c r="C124" s="28"/>
      <c r="D124" s="28"/>
      <c r="E124" s="28"/>
      <c r="F124" s="28"/>
      <c r="G124" s="28"/>
      <c r="H124" s="28"/>
      <c r="I124" s="29" t="s">
        <v>100</v>
      </c>
      <c r="J124" s="29"/>
      <c r="K124" s="29" t="s">
        <v>185</v>
      </c>
      <c r="L124" s="29"/>
      <c r="M124" s="30">
        <f>50000</f>
        <v>50000</v>
      </c>
      <c r="N124" s="30"/>
      <c r="O124" s="30"/>
      <c r="P124" s="30">
        <f>49805</f>
        <v>49805</v>
      </c>
      <c r="Q124" s="30"/>
      <c r="R124" s="30"/>
      <c r="S124" s="30"/>
      <c r="T124" s="31">
        <f>195</f>
        <v>195</v>
      </c>
      <c r="U124" s="31"/>
    </row>
    <row r="125" spans="1:21" s="1" customFormat="1" ht="13.95" customHeight="1">
      <c r="A125" s="28" t="s">
        <v>115</v>
      </c>
      <c r="B125" s="28"/>
      <c r="C125" s="28"/>
      <c r="D125" s="28"/>
      <c r="E125" s="28"/>
      <c r="F125" s="28"/>
      <c r="G125" s="28"/>
      <c r="H125" s="28"/>
      <c r="I125" s="29" t="s">
        <v>100</v>
      </c>
      <c r="J125" s="29"/>
      <c r="K125" s="29" t="s">
        <v>186</v>
      </c>
      <c r="L125" s="29"/>
      <c r="M125" s="30">
        <f>50000</f>
        <v>50000</v>
      </c>
      <c r="N125" s="30"/>
      <c r="O125" s="30"/>
      <c r="P125" s="30">
        <f>15246.78</f>
        <v>15246.78</v>
      </c>
      <c r="Q125" s="30"/>
      <c r="R125" s="30"/>
      <c r="S125" s="30"/>
      <c r="T125" s="31">
        <f>34753.22</f>
        <v>34753.22</v>
      </c>
      <c r="U125" s="31"/>
    </row>
    <row r="126" spans="1:21" s="1" customFormat="1" ht="13.95" customHeight="1">
      <c r="A126" s="28" t="s">
        <v>187</v>
      </c>
      <c r="B126" s="28"/>
      <c r="C126" s="28"/>
      <c r="D126" s="28"/>
      <c r="E126" s="28"/>
      <c r="F126" s="28"/>
      <c r="G126" s="28"/>
      <c r="H126" s="28"/>
      <c r="I126" s="29" t="s">
        <v>100</v>
      </c>
      <c r="J126" s="29"/>
      <c r="K126" s="29" t="s">
        <v>188</v>
      </c>
      <c r="L126" s="29"/>
      <c r="M126" s="30">
        <f>156000</f>
        <v>156000</v>
      </c>
      <c r="N126" s="30"/>
      <c r="O126" s="30"/>
      <c r="P126" s="30">
        <f>55229.81</f>
        <v>55229.81</v>
      </c>
      <c r="Q126" s="30"/>
      <c r="R126" s="30"/>
      <c r="S126" s="30"/>
      <c r="T126" s="31">
        <f>100770.19</f>
        <v>100770.19</v>
      </c>
      <c r="U126" s="31"/>
    </row>
    <row r="127" spans="1:21" s="1" customFormat="1" ht="15" customHeight="1">
      <c r="A127" s="33" t="s">
        <v>189</v>
      </c>
      <c r="B127" s="33"/>
      <c r="C127" s="33"/>
      <c r="D127" s="33"/>
      <c r="E127" s="33"/>
      <c r="F127" s="33"/>
      <c r="G127" s="33"/>
      <c r="H127" s="33"/>
      <c r="I127" s="34" t="s">
        <v>190</v>
      </c>
      <c r="J127" s="34"/>
      <c r="K127" s="34" t="s">
        <v>37</v>
      </c>
      <c r="L127" s="34"/>
      <c r="M127" s="35">
        <f>-6758601.75</f>
        <v>-6758601.75</v>
      </c>
      <c r="N127" s="35"/>
      <c r="O127" s="35"/>
      <c r="P127" s="35">
        <f>-137918.94</f>
        <v>-137918.94</v>
      </c>
      <c r="Q127" s="35"/>
      <c r="R127" s="35"/>
      <c r="S127" s="35"/>
      <c r="T127" s="36" t="s">
        <v>37</v>
      </c>
      <c r="U127" s="36"/>
    </row>
    <row r="128" spans="1:21" s="1" customFormat="1" ht="13.95" customHeight="1">
      <c r="A128" s="7" t="s">
        <v>11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s="1" customFormat="1" ht="13.95" customHeight="1">
      <c r="A129" s="11" t="s">
        <v>191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s="1" customFormat="1" ht="46.05" customHeight="1">
      <c r="A130" s="12" t="s">
        <v>23</v>
      </c>
      <c r="B130" s="12"/>
      <c r="C130" s="12"/>
      <c r="D130" s="12"/>
      <c r="E130" s="12"/>
      <c r="F130" s="12"/>
      <c r="G130" s="12"/>
      <c r="H130" s="12"/>
      <c r="I130" s="12" t="s">
        <v>24</v>
      </c>
      <c r="J130" s="12"/>
      <c r="K130" s="12" t="s">
        <v>192</v>
      </c>
      <c r="L130" s="12"/>
      <c r="M130" s="13" t="s">
        <v>26</v>
      </c>
      <c r="N130" s="13"/>
      <c r="O130" s="13"/>
      <c r="P130" s="13" t="s">
        <v>27</v>
      </c>
      <c r="Q130" s="13"/>
      <c r="R130" s="13"/>
      <c r="S130" s="13"/>
      <c r="T130" s="14" t="s">
        <v>28</v>
      </c>
      <c r="U130" s="14"/>
    </row>
    <row r="131" spans="1:21" s="1" customFormat="1" ht="13.05" customHeight="1">
      <c r="A131" s="15" t="s">
        <v>29</v>
      </c>
      <c r="B131" s="15"/>
      <c r="C131" s="15"/>
      <c r="D131" s="15"/>
      <c r="E131" s="15"/>
      <c r="F131" s="15"/>
      <c r="G131" s="15"/>
      <c r="H131" s="15"/>
      <c r="I131" s="15" t="s">
        <v>30</v>
      </c>
      <c r="J131" s="15"/>
      <c r="K131" s="15" t="s">
        <v>31</v>
      </c>
      <c r="L131" s="15"/>
      <c r="M131" s="16" t="s">
        <v>32</v>
      </c>
      <c r="N131" s="16"/>
      <c r="O131" s="16"/>
      <c r="P131" s="16" t="s">
        <v>33</v>
      </c>
      <c r="Q131" s="16"/>
      <c r="R131" s="16"/>
      <c r="S131" s="16"/>
      <c r="T131" s="17" t="s">
        <v>34</v>
      </c>
      <c r="U131" s="17"/>
    </row>
    <row r="132" spans="1:21" s="1" customFormat="1" ht="13.95" customHeight="1">
      <c r="A132" s="18" t="s">
        <v>193</v>
      </c>
      <c r="B132" s="18"/>
      <c r="C132" s="18"/>
      <c r="D132" s="18"/>
      <c r="E132" s="18"/>
      <c r="F132" s="18"/>
      <c r="G132" s="18"/>
      <c r="H132" s="18"/>
      <c r="I132" s="19" t="s">
        <v>194</v>
      </c>
      <c r="J132" s="19"/>
      <c r="K132" s="19" t="s">
        <v>37</v>
      </c>
      <c r="L132" s="19"/>
      <c r="M132" s="37">
        <f>6758601.75</f>
        <v>6758601.75</v>
      </c>
      <c r="N132" s="37"/>
      <c r="O132" s="37"/>
      <c r="P132" s="20">
        <f>137918.94</f>
        <v>137918.94</v>
      </c>
      <c r="Q132" s="20"/>
      <c r="R132" s="20"/>
      <c r="S132" s="20"/>
      <c r="T132" s="38">
        <f>6620682.81</f>
        <v>6620682.8099999996</v>
      </c>
      <c r="U132" s="38"/>
    </row>
    <row r="133" spans="1:21" s="1" customFormat="1" ht="13.95" customHeight="1">
      <c r="A133" s="39" t="s">
        <v>195</v>
      </c>
      <c r="B133" s="39"/>
      <c r="C133" s="39"/>
      <c r="D133" s="39"/>
      <c r="E133" s="39"/>
      <c r="F133" s="39"/>
      <c r="G133" s="39"/>
      <c r="H133" s="39"/>
      <c r="I133" s="40" t="s">
        <v>11</v>
      </c>
      <c r="J133" s="40"/>
      <c r="K133" s="40" t="s">
        <v>11</v>
      </c>
      <c r="L133" s="40"/>
      <c r="M133" s="41" t="s">
        <v>11</v>
      </c>
      <c r="N133" s="41"/>
      <c r="O133" s="41"/>
      <c r="P133" s="42" t="s">
        <v>11</v>
      </c>
      <c r="Q133" s="42"/>
      <c r="R133" s="42"/>
      <c r="S133" s="42"/>
      <c r="T133" s="43" t="s">
        <v>11</v>
      </c>
      <c r="U133" s="43"/>
    </row>
    <row r="134" spans="1:21" s="1" customFormat="1" ht="13.95" customHeight="1">
      <c r="A134" s="22" t="s">
        <v>196</v>
      </c>
      <c r="B134" s="22"/>
      <c r="C134" s="22"/>
      <c r="D134" s="22"/>
      <c r="E134" s="22"/>
      <c r="F134" s="22"/>
      <c r="G134" s="22"/>
      <c r="H134" s="22"/>
      <c r="I134" s="44" t="s">
        <v>197</v>
      </c>
      <c r="J134" s="44"/>
      <c r="K134" s="23" t="s">
        <v>37</v>
      </c>
      <c r="L134" s="23"/>
      <c r="M134" s="45">
        <f>5441700</f>
        <v>5441700</v>
      </c>
      <c r="N134" s="45"/>
      <c r="O134" s="45"/>
      <c r="P134" s="26" t="s">
        <v>41</v>
      </c>
      <c r="Q134" s="26"/>
      <c r="R134" s="26"/>
      <c r="S134" s="26"/>
      <c r="T134" s="46">
        <f>5441700</f>
        <v>5441700</v>
      </c>
      <c r="U134" s="46"/>
    </row>
    <row r="135" spans="1:21" s="1" customFormat="1" ht="24" customHeight="1">
      <c r="A135" s="28" t="s">
        <v>198</v>
      </c>
      <c r="B135" s="28"/>
      <c r="C135" s="28"/>
      <c r="D135" s="28"/>
      <c r="E135" s="28"/>
      <c r="F135" s="28"/>
      <c r="G135" s="28"/>
      <c r="H135" s="28"/>
      <c r="I135" s="29" t="s">
        <v>197</v>
      </c>
      <c r="J135" s="29"/>
      <c r="K135" s="29" t="s">
        <v>199</v>
      </c>
      <c r="L135" s="29"/>
      <c r="M135" s="47">
        <f>7241700</f>
        <v>7241700</v>
      </c>
      <c r="N135" s="47"/>
      <c r="O135" s="47"/>
      <c r="P135" s="32" t="s">
        <v>41</v>
      </c>
      <c r="Q135" s="32"/>
      <c r="R135" s="32"/>
      <c r="S135" s="32"/>
      <c r="T135" s="48">
        <f>7241700</f>
        <v>7241700</v>
      </c>
      <c r="U135" s="48"/>
    </row>
    <row r="136" spans="1:21" s="1" customFormat="1" ht="24" customHeight="1">
      <c r="A136" s="28" t="s">
        <v>200</v>
      </c>
      <c r="B136" s="28"/>
      <c r="C136" s="28"/>
      <c r="D136" s="28"/>
      <c r="E136" s="28"/>
      <c r="F136" s="28"/>
      <c r="G136" s="28"/>
      <c r="H136" s="28"/>
      <c r="I136" s="29" t="s">
        <v>197</v>
      </c>
      <c r="J136" s="29"/>
      <c r="K136" s="29" t="s">
        <v>201</v>
      </c>
      <c r="L136" s="29"/>
      <c r="M136" s="47">
        <f>-1800000</f>
        <v>-1800000</v>
      </c>
      <c r="N136" s="47"/>
      <c r="O136" s="47"/>
      <c r="P136" s="32" t="s">
        <v>41</v>
      </c>
      <c r="Q136" s="32"/>
      <c r="R136" s="32"/>
      <c r="S136" s="32"/>
      <c r="T136" s="48">
        <f>-1800000</f>
        <v>-1800000</v>
      </c>
      <c r="U136" s="48"/>
    </row>
    <row r="137" spans="1:21" s="1" customFormat="1" ht="1.05" customHeight="1">
      <c r="A137" s="49" t="s">
        <v>11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s="1" customFormat="1" ht="13.95" customHeight="1">
      <c r="A138" s="28" t="s">
        <v>202</v>
      </c>
      <c r="B138" s="28"/>
      <c r="C138" s="28"/>
      <c r="D138" s="28"/>
      <c r="E138" s="28"/>
      <c r="F138" s="28"/>
      <c r="G138" s="28"/>
      <c r="H138" s="28"/>
      <c r="I138" s="40" t="s">
        <v>203</v>
      </c>
      <c r="J138" s="40"/>
      <c r="K138" s="40" t="s">
        <v>37</v>
      </c>
      <c r="L138" s="40"/>
      <c r="M138" s="41" t="s">
        <v>41</v>
      </c>
      <c r="N138" s="41"/>
      <c r="O138" s="41"/>
      <c r="P138" s="32" t="s">
        <v>41</v>
      </c>
      <c r="Q138" s="32"/>
      <c r="R138" s="32"/>
      <c r="S138" s="32"/>
      <c r="T138" s="43" t="s">
        <v>41</v>
      </c>
      <c r="U138" s="43"/>
    </row>
    <row r="139" spans="1:21" s="1" customFormat="1" ht="13.95" customHeight="1">
      <c r="A139" s="28" t="s">
        <v>11</v>
      </c>
      <c r="B139" s="28"/>
      <c r="C139" s="28"/>
      <c r="D139" s="28"/>
      <c r="E139" s="28"/>
      <c r="F139" s="28"/>
      <c r="G139" s="28"/>
      <c r="H139" s="28"/>
      <c r="I139" s="29" t="s">
        <v>203</v>
      </c>
      <c r="J139" s="29"/>
      <c r="K139" s="29" t="s">
        <v>11</v>
      </c>
      <c r="L139" s="29"/>
      <c r="M139" s="50" t="s">
        <v>41</v>
      </c>
      <c r="N139" s="50"/>
      <c r="O139" s="50"/>
      <c r="P139" s="32" t="s">
        <v>41</v>
      </c>
      <c r="Q139" s="32"/>
      <c r="R139" s="32"/>
      <c r="S139" s="32"/>
      <c r="T139" s="51" t="s">
        <v>41</v>
      </c>
      <c r="U139" s="51"/>
    </row>
    <row r="140" spans="1:21" s="1" customFormat="1" ht="13.95" customHeight="1">
      <c r="A140" s="28" t="s">
        <v>204</v>
      </c>
      <c r="B140" s="28"/>
      <c r="C140" s="28"/>
      <c r="D140" s="28"/>
      <c r="E140" s="28"/>
      <c r="F140" s="28"/>
      <c r="G140" s="28"/>
      <c r="H140" s="28"/>
      <c r="I140" s="29" t="s">
        <v>205</v>
      </c>
      <c r="J140" s="29"/>
      <c r="K140" s="29" t="s">
        <v>206</v>
      </c>
      <c r="L140" s="29"/>
      <c r="M140" s="47">
        <f>1316901.75</f>
        <v>1316901.75</v>
      </c>
      <c r="N140" s="47"/>
      <c r="O140" s="47"/>
      <c r="P140" s="30">
        <f>137918.94</f>
        <v>137918.94</v>
      </c>
      <c r="Q140" s="30"/>
      <c r="R140" s="30"/>
      <c r="S140" s="30"/>
      <c r="T140" s="48">
        <f>1178982.81</f>
        <v>1178982.81</v>
      </c>
      <c r="U140" s="48"/>
    </row>
    <row r="141" spans="1:21" s="1" customFormat="1" ht="13.95" customHeight="1">
      <c r="A141" s="28" t="s">
        <v>207</v>
      </c>
      <c r="B141" s="28"/>
      <c r="C141" s="28"/>
      <c r="D141" s="28"/>
      <c r="E141" s="28"/>
      <c r="F141" s="28"/>
      <c r="G141" s="28"/>
      <c r="H141" s="28"/>
      <c r="I141" s="29" t="s">
        <v>208</v>
      </c>
      <c r="J141" s="29"/>
      <c r="K141" s="29" t="s">
        <v>209</v>
      </c>
      <c r="L141" s="29"/>
      <c r="M141" s="47">
        <f>-24847207</f>
        <v>-24847207</v>
      </c>
      <c r="N141" s="47"/>
      <c r="O141" s="47"/>
      <c r="P141" s="30">
        <v>-8336046.6200000001</v>
      </c>
      <c r="Q141" s="30"/>
      <c r="R141" s="30"/>
      <c r="S141" s="30"/>
      <c r="T141" s="52" t="s">
        <v>37</v>
      </c>
      <c r="U141" s="52"/>
    </row>
    <row r="142" spans="1:21" s="1" customFormat="1" ht="13.95" customHeight="1">
      <c r="A142" s="28" t="s">
        <v>210</v>
      </c>
      <c r="B142" s="28"/>
      <c r="C142" s="28"/>
      <c r="D142" s="28"/>
      <c r="E142" s="28"/>
      <c r="F142" s="28"/>
      <c r="G142" s="28"/>
      <c r="H142" s="28"/>
      <c r="I142" s="29" t="s">
        <v>211</v>
      </c>
      <c r="J142" s="29"/>
      <c r="K142" s="29" t="s">
        <v>212</v>
      </c>
      <c r="L142" s="29"/>
      <c r="M142" s="47">
        <f>26164108.75</f>
        <v>26164108.75</v>
      </c>
      <c r="N142" s="47"/>
      <c r="O142" s="47"/>
      <c r="P142" s="30">
        <v>8473965.5600000005</v>
      </c>
      <c r="Q142" s="30"/>
      <c r="R142" s="30"/>
      <c r="S142" s="30"/>
      <c r="T142" s="52" t="s">
        <v>37</v>
      </c>
      <c r="U142" s="52"/>
    </row>
    <row r="143" spans="1:21" s="1" customFormat="1" ht="13.95" customHeight="1">
      <c r="A143" s="54" t="s">
        <v>11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s="1" customFormat="1" ht="13.95" customHeight="1">
      <c r="A144" s="7" t="s">
        <v>213</v>
      </c>
      <c r="B144" s="7"/>
      <c r="C144" s="7"/>
      <c r="D144" s="7"/>
      <c r="E144" s="7"/>
      <c r="F144" s="53" t="s">
        <v>11</v>
      </c>
      <c r="G144" s="53"/>
      <c r="H144" s="53"/>
      <c r="I144" s="53"/>
      <c r="J144" s="53"/>
      <c r="K144" s="53" t="s">
        <v>214</v>
      </c>
      <c r="L144" s="53"/>
      <c r="M144" s="53"/>
      <c r="N144" s="53"/>
      <c r="O144" s="7" t="s">
        <v>11</v>
      </c>
      <c r="P144" s="7"/>
      <c r="Q144" s="7"/>
      <c r="R144" s="7"/>
      <c r="S144" s="7"/>
      <c r="T144" s="7"/>
      <c r="U144" s="7"/>
    </row>
    <row r="145" spans="1:21" s="1" customFormat="1" ht="13.95" customHeight="1">
      <c r="A145" s="7" t="s">
        <v>11</v>
      </c>
      <c r="B145" s="7"/>
      <c r="C145" s="7"/>
      <c r="D145" s="7"/>
      <c r="E145" s="7"/>
      <c r="F145" s="9" t="s">
        <v>11</v>
      </c>
      <c r="G145" s="55" t="s">
        <v>215</v>
      </c>
      <c r="H145" s="55"/>
      <c r="I145" s="55"/>
      <c r="J145" s="9" t="s">
        <v>11</v>
      </c>
      <c r="K145" s="9" t="s">
        <v>11</v>
      </c>
      <c r="L145" s="55" t="s">
        <v>216</v>
      </c>
      <c r="M145" s="55"/>
      <c r="N145" s="7" t="s">
        <v>11</v>
      </c>
      <c r="O145" s="7"/>
      <c r="P145" s="7"/>
      <c r="Q145" s="7"/>
      <c r="R145" s="7"/>
      <c r="S145" s="7"/>
      <c r="T145" s="7"/>
      <c r="U145" s="7"/>
    </row>
    <row r="146" spans="1:21" s="1" customFormat="1" ht="16.05" customHeight="1">
      <c r="A146" s="7" t="s">
        <v>11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s="1" customFormat="1" ht="13.95" customHeight="1">
      <c r="A147" s="56" t="s">
        <v>217</v>
      </c>
      <c r="B147" s="56"/>
      <c r="C147" s="56"/>
      <c r="D147" s="56"/>
      <c r="E147" s="56"/>
      <c r="F147" s="56"/>
      <c r="G147" s="56"/>
      <c r="H147" s="7" t="s">
        <v>11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s="1" customFormat="1" ht="13.95" customHeight="1">
      <c r="A148" s="4" t="s">
        <v>218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</sheetData>
  <mergeCells count="802">
    <mergeCell ref="A146:U146"/>
    <mergeCell ref="A147:G147"/>
    <mergeCell ref="H147:U147"/>
    <mergeCell ref="A148:U148"/>
    <mergeCell ref="A143:U143"/>
    <mergeCell ref="A144:E144"/>
    <mergeCell ref="F144:J144"/>
    <mergeCell ref="K144:N144"/>
    <mergeCell ref="O144:U144"/>
    <mergeCell ref="A145:E145"/>
    <mergeCell ref="G145:I145"/>
    <mergeCell ref="L145:M145"/>
    <mergeCell ref="N145:U145"/>
    <mergeCell ref="A142:H142"/>
    <mergeCell ref="I142:J142"/>
    <mergeCell ref="K142:L142"/>
    <mergeCell ref="M142:O142"/>
    <mergeCell ref="P142:S142"/>
    <mergeCell ref="T142:U142"/>
    <mergeCell ref="A141:H141"/>
    <mergeCell ref="I141:J141"/>
    <mergeCell ref="K141:L141"/>
    <mergeCell ref="M141:O141"/>
    <mergeCell ref="P141:S141"/>
    <mergeCell ref="T141:U141"/>
    <mergeCell ref="A140:H140"/>
    <mergeCell ref="I140:J140"/>
    <mergeCell ref="K140:L140"/>
    <mergeCell ref="M140:O140"/>
    <mergeCell ref="P140:S140"/>
    <mergeCell ref="T140:U140"/>
    <mergeCell ref="A139:H139"/>
    <mergeCell ref="I139:J139"/>
    <mergeCell ref="K139:L139"/>
    <mergeCell ref="M139:O139"/>
    <mergeCell ref="P139:S139"/>
    <mergeCell ref="T139:U139"/>
    <mergeCell ref="A137:U137"/>
    <mergeCell ref="A138:H138"/>
    <mergeCell ref="I138:J138"/>
    <mergeCell ref="K138:L138"/>
    <mergeCell ref="M138:O138"/>
    <mergeCell ref="P138:S138"/>
    <mergeCell ref="T138:U138"/>
    <mergeCell ref="A136:H136"/>
    <mergeCell ref="I136:J136"/>
    <mergeCell ref="K136:L136"/>
    <mergeCell ref="M136:O136"/>
    <mergeCell ref="P136:S136"/>
    <mergeCell ref="T136:U136"/>
    <mergeCell ref="A135:H135"/>
    <mergeCell ref="I135:J135"/>
    <mergeCell ref="K135:L135"/>
    <mergeCell ref="M135:O135"/>
    <mergeCell ref="P135:S135"/>
    <mergeCell ref="T135:U135"/>
    <mergeCell ref="A134:H134"/>
    <mergeCell ref="I134:J134"/>
    <mergeCell ref="K134:L134"/>
    <mergeCell ref="M134:O134"/>
    <mergeCell ref="P134:S134"/>
    <mergeCell ref="T134:U134"/>
    <mergeCell ref="A133:H133"/>
    <mergeCell ref="I133:J133"/>
    <mergeCell ref="K133:L133"/>
    <mergeCell ref="M133:O133"/>
    <mergeCell ref="P133:S133"/>
    <mergeCell ref="T133:U133"/>
    <mergeCell ref="A132:H132"/>
    <mergeCell ref="I132:J132"/>
    <mergeCell ref="K132:L132"/>
    <mergeCell ref="M132:O132"/>
    <mergeCell ref="P132:S132"/>
    <mergeCell ref="T132:U132"/>
    <mergeCell ref="A131:H131"/>
    <mergeCell ref="I131:J131"/>
    <mergeCell ref="K131:L131"/>
    <mergeCell ref="M131:O131"/>
    <mergeCell ref="P131:S131"/>
    <mergeCell ref="T131:U131"/>
    <mergeCell ref="A128:U128"/>
    <mergeCell ref="A129:U129"/>
    <mergeCell ref="A130:H130"/>
    <mergeCell ref="I130:J130"/>
    <mergeCell ref="K130:L130"/>
    <mergeCell ref="M130:O130"/>
    <mergeCell ref="P130:S130"/>
    <mergeCell ref="T130:U130"/>
    <mergeCell ref="A127:H127"/>
    <mergeCell ref="I127:J127"/>
    <mergeCell ref="K127:L127"/>
    <mergeCell ref="M127:O127"/>
    <mergeCell ref="P127:S127"/>
    <mergeCell ref="T127:U127"/>
    <mergeCell ref="A126:H126"/>
    <mergeCell ref="I126:J126"/>
    <mergeCell ref="K126:L126"/>
    <mergeCell ref="M126:O126"/>
    <mergeCell ref="P126:S126"/>
    <mergeCell ref="T126:U126"/>
    <mergeCell ref="A125:H125"/>
    <mergeCell ref="I125:J125"/>
    <mergeCell ref="K125:L125"/>
    <mergeCell ref="M125:O125"/>
    <mergeCell ref="P125:S125"/>
    <mergeCell ref="T125:U125"/>
    <mergeCell ref="A124:H124"/>
    <mergeCell ref="I124:J124"/>
    <mergeCell ref="K124:L124"/>
    <mergeCell ref="M124:O124"/>
    <mergeCell ref="P124:S124"/>
    <mergeCell ref="T124:U124"/>
    <mergeCell ref="A123:H123"/>
    <mergeCell ref="I123:J123"/>
    <mergeCell ref="K123:L123"/>
    <mergeCell ref="M123:O123"/>
    <mergeCell ref="P123:S123"/>
    <mergeCell ref="T123:U123"/>
    <mergeCell ref="A122:H122"/>
    <mergeCell ref="I122:J122"/>
    <mergeCell ref="K122:L122"/>
    <mergeCell ref="M122:O122"/>
    <mergeCell ref="P122:S122"/>
    <mergeCell ref="T122:U122"/>
    <mergeCell ref="A121:H121"/>
    <mergeCell ref="I121:J121"/>
    <mergeCell ref="K121:L121"/>
    <mergeCell ref="M121:O121"/>
    <mergeCell ref="P121:S121"/>
    <mergeCell ref="T121:U121"/>
    <mergeCell ref="A120:H120"/>
    <mergeCell ref="I120:J120"/>
    <mergeCell ref="K120:L120"/>
    <mergeCell ref="M120:O120"/>
    <mergeCell ref="P120:S120"/>
    <mergeCell ref="T120:U120"/>
    <mergeCell ref="A119:H119"/>
    <mergeCell ref="I119:J119"/>
    <mergeCell ref="K119:L119"/>
    <mergeCell ref="M119:O119"/>
    <mergeCell ref="P119:S119"/>
    <mergeCell ref="T119:U119"/>
    <mergeCell ref="A118:H118"/>
    <mergeCell ref="I118:J118"/>
    <mergeCell ref="K118:L118"/>
    <mergeCell ref="M118:O118"/>
    <mergeCell ref="P118:S118"/>
    <mergeCell ref="T118:U118"/>
    <mergeCell ref="A117:H117"/>
    <mergeCell ref="I117:J117"/>
    <mergeCell ref="K117:L117"/>
    <mergeCell ref="M117:O117"/>
    <mergeCell ref="P117:S117"/>
    <mergeCell ref="T117:U117"/>
    <mergeCell ref="A116:H116"/>
    <mergeCell ref="I116:J116"/>
    <mergeCell ref="K116:L116"/>
    <mergeCell ref="M116:O116"/>
    <mergeCell ref="P116:S116"/>
    <mergeCell ref="T116:U116"/>
    <mergeCell ref="A115:H115"/>
    <mergeCell ref="I115:J115"/>
    <mergeCell ref="K115:L115"/>
    <mergeCell ref="M115:O115"/>
    <mergeCell ref="P115:S115"/>
    <mergeCell ref="T115:U115"/>
    <mergeCell ref="A114:H114"/>
    <mergeCell ref="I114:J114"/>
    <mergeCell ref="K114:L114"/>
    <mergeCell ref="M114:O114"/>
    <mergeCell ref="P114:S114"/>
    <mergeCell ref="T114:U114"/>
    <mergeCell ref="A113:H113"/>
    <mergeCell ref="I113:J113"/>
    <mergeCell ref="K113:L113"/>
    <mergeCell ref="M113:O113"/>
    <mergeCell ref="P113:S113"/>
    <mergeCell ref="T113:U113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4:H104"/>
    <mergeCell ref="I104:J104"/>
    <mergeCell ref="K104:L104"/>
    <mergeCell ref="M104:O104"/>
    <mergeCell ref="P104:S104"/>
    <mergeCell ref="T104:U104"/>
    <mergeCell ref="A103:H103"/>
    <mergeCell ref="I103:J103"/>
    <mergeCell ref="K103:L103"/>
    <mergeCell ref="M103:O103"/>
    <mergeCell ref="P103:S103"/>
    <mergeCell ref="T103:U103"/>
    <mergeCell ref="A102:H102"/>
    <mergeCell ref="I102:J102"/>
    <mergeCell ref="K102:L102"/>
    <mergeCell ref="M102:O102"/>
    <mergeCell ref="P102:S102"/>
    <mergeCell ref="T102:U102"/>
    <mergeCell ref="A101:H101"/>
    <mergeCell ref="I101:J101"/>
    <mergeCell ref="K101:L101"/>
    <mergeCell ref="M101:O101"/>
    <mergeCell ref="P101:S101"/>
    <mergeCell ref="T101:U101"/>
    <mergeCell ref="A100:H100"/>
    <mergeCell ref="I100:J100"/>
    <mergeCell ref="K100:L100"/>
    <mergeCell ref="M100:O100"/>
    <mergeCell ref="P100:S100"/>
    <mergeCell ref="T100:U100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8:H88"/>
    <mergeCell ref="I88:J88"/>
    <mergeCell ref="K88:L88"/>
    <mergeCell ref="M88:O88"/>
    <mergeCell ref="P88:S88"/>
    <mergeCell ref="T88:U88"/>
    <mergeCell ref="A87:H87"/>
    <mergeCell ref="I87:J87"/>
    <mergeCell ref="K87:L87"/>
    <mergeCell ref="M87:O87"/>
    <mergeCell ref="P87:S87"/>
    <mergeCell ref="T87:U87"/>
    <mergeCell ref="A86:H86"/>
    <mergeCell ref="I86:J86"/>
    <mergeCell ref="K86:L86"/>
    <mergeCell ref="M86:O86"/>
    <mergeCell ref="P86:S86"/>
    <mergeCell ref="T86:U86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7:U47"/>
    <mergeCell ref="A48:U48"/>
    <mergeCell ref="A49:H49"/>
    <mergeCell ref="I49:J49"/>
    <mergeCell ref="K49:L49"/>
    <mergeCell ref="M49:O49"/>
    <mergeCell ref="P49:S49"/>
    <mergeCell ref="T49:U49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2:H42"/>
    <mergeCell ref="I42:J42"/>
    <mergeCell ref="K42:L42"/>
    <mergeCell ref="M42:O42"/>
    <mergeCell ref="P42:S42"/>
    <mergeCell ref="T42:U42"/>
    <mergeCell ref="A41:H41"/>
    <mergeCell ref="I41:J41"/>
    <mergeCell ref="K41:L41"/>
    <mergeCell ref="M41:O41"/>
    <mergeCell ref="P41:S41"/>
    <mergeCell ref="T41:U41"/>
    <mergeCell ref="A40:H40"/>
    <mergeCell ref="I40:J40"/>
    <mergeCell ref="K40:L40"/>
    <mergeCell ref="M40:O40"/>
    <mergeCell ref="P40:S40"/>
    <mergeCell ref="T40:U40"/>
    <mergeCell ref="A39:H39"/>
    <mergeCell ref="I39:J39"/>
    <mergeCell ref="K39:L39"/>
    <mergeCell ref="M39:O39"/>
    <mergeCell ref="P39:S39"/>
    <mergeCell ref="T39:U39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0.39370078740157483" right="0" top="0.39370078740157483" bottom="0" header="0.5" footer="0.5"/>
  <pageSetup paperSize="9" firstPageNumber="4294967295" orientation="landscape" r:id="rId1"/>
  <headerFooter alignWithMargins="0">
    <oddFooter>&amp;CСтраница &amp;С из &amp;К</oddFooter>
  </headerFooter>
  <rowBreaks count="2" manualBreakCount="2">
    <brk id="47" max="16383" man="1"/>
    <brk id="12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2013-10-03T04:37:48Z</cp:lastPrinted>
  <dcterms:created xsi:type="dcterms:W3CDTF">2013-10-03T04:38:47Z</dcterms:created>
  <dcterms:modified xsi:type="dcterms:W3CDTF">2013-10-03T04:38:47Z</dcterms:modified>
</cp:coreProperties>
</file>